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255" windowWidth="12825" windowHeight="11340"/>
  </bookViews>
  <sheets>
    <sheet name="Govrment Revenues" sheetId="1" r:id="rId1"/>
    <sheet name="Goverment Expenditures" sheetId="2" r:id="rId2"/>
    <sheet name="Money Supply" sheetId="3" r:id="rId3"/>
    <sheet name="Credit" sheetId="4" r:id="rId4"/>
    <sheet name="Balance of Payment" sheetId="5" r:id="rId5"/>
    <sheet name="FDI" sheetId="10" r:id="rId6"/>
    <sheet name="CPI base 2007" sheetId="13" r:id="rId7"/>
    <sheet name="CPI food base 2007" sheetId="14" r:id="rId8"/>
    <sheet name="Inflation by Group 2013" sheetId="11" r:id="rId9"/>
  </sheets>
  <definedNames>
    <definedName name="_xlnm.Print_Area" localSheetId="4">'Balance of Payment'!$A$1:$P$180</definedName>
    <definedName name="_xlnm.Print_Area" localSheetId="6">'CPI base 2007'!$A$1:$J$26</definedName>
    <definedName name="_xlnm.Print_Area" localSheetId="7">'CPI food base 2007'!$A$1:$I$25</definedName>
    <definedName name="_xlnm.Print_Area" localSheetId="3">Credit!$A$1:$P$127</definedName>
    <definedName name="_xlnm.Print_Area" localSheetId="5">FDI!$A$1:$N$50</definedName>
    <definedName name="_xlnm.Print_Area" localSheetId="1">'Goverment Expenditures'!$A$1:$P$128</definedName>
    <definedName name="_xlnm.Print_Area" localSheetId="0">'Govrment Revenues'!$A$1:$P$181</definedName>
    <definedName name="_xlnm.Print_Area" localSheetId="8">'Inflation by Group 2013'!$A$1:$L$24</definedName>
    <definedName name="_xlnm.Print_Area" localSheetId="2">'Money Supply'!$A$1:$P$77</definedName>
    <definedName name="_xlnm.Print_Titles" localSheetId="4">'Balance of Payment'!$1:$6</definedName>
    <definedName name="_xlnm.Print_Titles" localSheetId="3">Credit!$1:$6</definedName>
    <definedName name="_xlnm.Print_Titles" localSheetId="1">'Goverment Expenditures'!$1:$6</definedName>
    <definedName name="_xlnm.Print_Titles" localSheetId="0">'Govrment Revenues'!$1:$6</definedName>
    <definedName name="_xlnm.Print_Titles" localSheetId="2">'Money Supply'!$1:$6</definedName>
  </definedNames>
  <calcPr calcId="125725"/>
</workbook>
</file>

<file path=xl/calcChain.xml><?xml version="1.0" encoding="utf-8"?>
<calcChain xmlns="http://schemas.openxmlformats.org/spreadsheetml/2006/main">
  <c r="M53" i="1"/>
  <c r="M49"/>
  <c r="N16" i="2"/>
  <c r="M16"/>
  <c r="N25" i="1"/>
  <c r="N23"/>
  <c r="M25"/>
  <c r="M23"/>
  <c r="N47" i="2"/>
  <c r="N29" i="5"/>
  <c r="N35"/>
  <c r="N36" s="1"/>
  <c r="M29"/>
  <c r="N23" i="4"/>
  <c r="J155" i="1"/>
  <c r="K155"/>
  <c r="L156"/>
  <c r="L155"/>
  <c r="M155" i="5"/>
  <c r="N156"/>
  <c r="N155"/>
  <c r="M155" i="1"/>
  <c r="N155"/>
  <c r="M111" i="2"/>
  <c r="N111"/>
  <c r="L146" i="5"/>
  <c r="L145"/>
  <c r="K145"/>
  <c r="K146"/>
  <c r="J146"/>
  <c r="J145"/>
  <c r="I116"/>
  <c r="J136"/>
  <c r="K136"/>
  <c r="L136"/>
  <c r="M136"/>
  <c r="I136"/>
  <c r="J135"/>
  <c r="K135"/>
  <c r="L135"/>
  <c r="M135"/>
  <c r="I135"/>
  <c r="J126"/>
  <c r="K126"/>
  <c r="L126"/>
  <c r="M126"/>
  <c r="N126"/>
  <c r="I126"/>
  <c r="N125"/>
  <c r="M125"/>
  <c r="J125"/>
  <c r="K125"/>
  <c r="L125"/>
  <c r="I125"/>
  <c r="I115"/>
  <c r="N107" i="4" l="1"/>
  <c r="M108"/>
  <c r="M107"/>
  <c r="L107"/>
  <c r="K107"/>
  <c r="J107"/>
  <c r="I107"/>
  <c r="I86" i="5"/>
  <c r="I85"/>
  <c r="J85"/>
  <c r="I79"/>
  <c r="N86"/>
  <c r="N85"/>
  <c r="J79"/>
  <c r="N40" i="4"/>
  <c r="J40"/>
  <c r="K40"/>
  <c r="L40"/>
  <c r="L129" i="1"/>
  <c r="N132"/>
  <c r="N129"/>
  <c r="M129"/>
  <c r="I175"/>
  <c r="J175"/>
  <c r="K175"/>
  <c r="L175"/>
  <c r="N47" i="4"/>
  <c r="N176" i="5"/>
  <c r="N175"/>
  <c r="N169"/>
  <c r="M169"/>
  <c r="J169"/>
  <c r="J176"/>
  <c r="K176"/>
  <c r="L176"/>
  <c r="M176"/>
  <c r="I176"/>
  <c r="J175"/>
  <c r="K175"/>
  <c r="L175"/>
  <c r="M175"/>
  <c r="I175"/>
  <c r="J166"/>
  <c r="K166"/>
  <c r="L166"/>
  <c r="M166"/>
  <c r="N166"/>
  <c r="I166"/>
  <c r="J165"/>
  <c r="K165"/>
  <c r="L165"/>
  <c r="M165"/>
  <c r="N165"/>
  <c r="I165"/>
  <c r="K156"/>
  <c r="K155"/>
  <c r="L155"/>
  <c r="L156" s="1"/>
  <c r="M156"/>
  <c r="J155"/>
  <c r="J156" s="1"/>
  <c r="J116"/>
  <c r="K116"/>
  <c r="L116"/>
  <c r="M116"/>
  <c r="N116"/>
  <c r="J115"/>
  <c r="K115"/>
  <c r="L115"/>
  <c r="M115"/>
  <c r="N115"/>
  <c r="J108"/>
  <c r="J25"/>
  <c r="J26" s="1"/>
  <c r="K25"/>
  <c r="K26" s="1"/>
  <c r="L25"/>
  <c r="L26" s="1"/>
  <c r="M25"/>
  <c r="M26" s="1"/>
  <c r="I26"/>
  <c r="I25"/>
  <c r="K76"/>
  <c r="L76"/>
  <c r="J75"/>
  <c r="J76" s="1"/>
  <c r="K75"/>
  <c r="L75"/>
  <c r="M75"/>
  <c r="M76" s="1"/>
  <c r="I75"/>
  <c r="I76" s="1"/>
  <c r="K85"/>
  <c r="K86" s="1"/>
  <c r="L85"/>
  <c r="L86" s="1"/>
  <c r="M85"/>
  <c r="M86" s="1"/>
  <c r="J86"/>
  <c r="J96"/>
  <c r="L96"/>
  <c r="M96"/>
  <c r="N96"/>
  <c r="J95"/>
  <c r="K95"/>
  <c r="K96" s="1"/>
  <c r="L95"/>
  <c r="M95"/>
  <c r="N95"/>
  <c r="I96"/>
  <c r="I95"/>
  <c r="J66"/>
  <c r="L66"/>
  <c r="M66"/>
  <c r="I66"/>
  <c r="J65"/>
  <c r="K65"/>
  <c r="K66" s="1"/>
  <c r="L65"/>
  <c r="M65"/>
  <c r="I65"/>
  <c r="J56"/>
  <c r="K56"/>
  <c r="I56"/>
  <c r="J55"/>
  <c r="K55"/>
  <c r="L55"/>
  <c r="L56" s="1"/>
  <c r="M55"/>
  <c r="M56" s="1"/>
  <c r="I55"/>
  <c r="J46"/>
  <c r="K46"/>
  <c r="L46"/>
  <c r="N46"/>
  <c r="J45"/>
  <c r="K45"/>
  <c r="L45"/>
  <c r="M45"/>
  <c r="M46" s="1"/>
  <c r="N45"/>
  <c r="I46"/>
  <c r="I45"/>
  <c r="N16"/>
  <c r="J36"/>
  <c r="J35"/>
  <c r="K35"/>
  <c r="K36" s="1"/>
  <c r="L35"/>
  <c r="L36" s="1"/>
  <c r="M35"/>
  <c r="M36" s="1"/>
  <c r="I36"/>
  <c r="I35"/>
  <c r="M15"/>
  <c r="M16" s="1"/>
  <c r="N15"/>
  <c r="M105"/>
  <c r="M106" s="1"/>
  <c r="L105"/>
  <c r="L106"/>
  <c r="M99"/>
  <c r="M98" s="1"/>
  <c r="L99"/>
  <c r="L98" s="1"/>
  <c r="K39"/>
  <c r="J39"/>
  <c r="N51"/>
  <c r="N50"/>
  <c r="N54"/>
  <c r="N53"/>
  <c r="N52"/>
  <c r="N49"/>
  <c r="N48"/>
  <c r="I43" i="1"/>
  <c r="I42"/>
  <c r="I38"/>
  <c r="I76" i="2"/>
  <c r="J76"/>
  <c r="K76"/>
  <c r="L76"/>
  <c r="M76"/>
  <c r="N76"/>
  <c r="I105" i="1"/>
  <c r="I103"/>
  <c r="J103"/>
  <c r="J105" s="1"/>
  <c r="K106"/>
  <c r="K103"/>
  <c r="L103"/>
  <c r="L106" s="1"/>
  <c r="M106"/>
  <c r="M105"/>
  <c r="M103"/>
  <c r="N106"/>
  <c r="N105"/>
  <c r="N103"/>
  <c r="M9" i="10"/>
  <c r="L9"/>
  <c r="K9"/>
  <c r="J9"/>
  <c r="I9"/>
  <c r="H9"/>
  <c r="M89" i="4"/>
  <c r="M117"/>
  <c r="E18" i="13"/>
  <c r="J106" i="1" l="1"/>
  <c r="D23" i="13"/>
  <c r="G23"/>
  <c r="E23"/>
  <c r="F23"/>
  <c r="H23"/>
  <c r="I23"/>
  <c r="N55" i="5"/>
  <c r="N56" s="1"/>
  <c r="J18" i="11"/>
  <c r="I18"/>
  <c r="H18"/>
  <c r="G18"/>
  <c r="F18"/>
  <c r="C18"/>
  <c r="K18"/>
  <c r="N75" i="4"/>
  <c r="N95" i="2"/>
  <c r="L133" i="1"/>
  <c r="M133"/>
  <c r="N133"/>
  <c r="J118" i="5"/>
  <c r="K109"/>
  <c r="N20" i="4"/>
  <c r="M109" i="5"/>
  <c r="J29" l="1"/>
  <c r="N39"/>
  <c r="M39"/>
  <c r="L39"/>
  <c r="I39"/>
  <c r="N9"/>
  <c r="N69" i="2"/>
  <c r="N99" i="5"/>
  <c r="N98" s="1"/>
  <c r="N151"/>
  <c r="M125" i="4"/>
  <c r="N125"/>
  <c r="N175" i="1"/>
  <c r="N117" i="4"/>
  <c r="N114"/>
  <c r="M159" i="5"/>
  <c r="N159"/>
  <c r="N12" i="4"/>
  <c r="N9"/>
  <c r="M96"/>
  <c r="L96"/>
  <c r="N96"/>
  <c r="N95"/>
  <c r="M95"/>
  <c r="N93"/>
  <c r="M93"/>
  <c r="N89"/>
  <c r="N86"/>
  <c r="N82"/>
  <c r="N109" i="5"/>
  <c r="N79" i="2"/>
  <c r="M79"/>
  <c r="N62" i="4"/>
  <c r="N62" i="2"/>
  <c r="M46" i="1"/>
  <c r="M43"/>
  <c r="N86"/>
  <c r="N34" i="4"/>
  <c r="N33"/>
  <c r="J33"/>
  <c r="N30"/>
  <c r="N46" i="1"/>
  <c r="N43"/>
  <c r="N68" i="4"/>
  <c r="N65"/>
  <c r="N67"/>
  <c r="K9" i="5"/>
  <c r="N105" l="1"/>
  <c r="N106"/>
  <c r="L49" i="10" l="1"/>
  <c r="K49"/>
  <c r="J49"/>
  <c r="I49"/>
  <c r="H49"/>
  <c r="G49"/>
  <c r="F49"/>
  <c r="E49"/>
  <c r="D49"/>
  <c r="C49"/>
  <c r="F31"/>
  <c r="E31"/>
  <c r="L27"/>
  <c r="K27"/>
  <c r="J27"/>
  <c r="I27"/>
  <c r="H27"/>
  <c r="G27"/>
  <c r="F27"/>
  <c r="E27"/>
  <c r="D27"/>
  <c r="C27"/>
  <c r="F9"/>
  <c r="E9"/>
  <c r="L169" i="5"/>
  <c r="K169"/>
  <c r="I169"/>
  <c r="L159"/>
  <c r="M114" i="4"/>
  <c r="K149" i="5"/>
  <c r="L149"/>
  <c r="M149"/>
  <c r="J149"/>
  <c r="M92" i="4"/>
  <c r="L95"/>
  <c r="L93"/>
  <c r="M57" i="3"/>
  <c r="M56"/>
  <c r="M86" i="4"/>
  <c r="M75"/>
  <c r="M82"/>
  <c r="M68"/>
  <c r="M67"/>
  <c r="M65"/>
  <c r="K79" i="5"/>
  <c r="L79"/>
  <c r="L62" i="4"/>
  <c r="L33" i="3"/>
  <c r="K33"/>
  <c r="J33"/>
  <c r="I33"/>
  <c r="G154" i="5" l="1"/>
  <c r="F154"/>
  <c r="E154"/>
  <c r="D154"/>
  <c r="H152"/>
  <c r="G152"/>
  <c r="F152"/>
  <c r="E152"/>
  <c r="D152"/>
  <c r="H151"/>
  <c r="H148" s="1"/>
  <c r="G151"/>
  <c r="F151"/>
  <c r="E151"/>
  <c r="E148" s="1"/>
  <c r="D151"/>
  <c r="G150"/>
  <c r="F150"/>
  <c r="F148" s="1"/>
  <c r="D150"/>
  <c r="D149"/>
  <c r="D148" s="1"/>
  <c r="D156" s="1"/>
  <c r="G148"/>
  <c r="H111" i="4"/>
  <c r="G111"/>
  <c r="F111"/>
  <c r="E111"/>
  <c r="D111"/>
  <c r="H74" i="5"/>
  <c r="G74"/>
  <c r="F74"/>
  <c r="H73"/>
  <c r="G73"/>
  <c r="F73"/>
  <c r="H72"/>
  <c r="G72"/>
  <c r="F72"/>
  <c r="H71"/>
  <c r="G71"/>
  <c r="F71"/>
  <c r="H70"/>
  <c r="G70"/>
  <c r="F70"/>
  <c r="H69"/>
  <c r="G69"/>
  <c r="F69"/>
  <c r="F68" s="1"/>
  <c r="F76" s="1"/>
  <c r="E68"/>
  <c r="E76" s="1"/>
  <c r="D68"/>
  <c r="D76" s="1"/>
  <c r="H84"/>
  <c r="G84"/>
  <c r="F84"/>
  <c r="H83"/>
  <c r="G83"/>
  <c r="F83"/>
  <c r="H82"/>
  <c r="G82"/>
  <c r="F82"/>
  <c r="H81"/>
  <c r="G81"/>
  <c r="F81"/>
  <c r="H80"/>
  <c r="G80"/>
  <c r="F80"/>
  <c r="H79"/>
  <c r="G79"/>
  <c r="F79"/>
  <c r="E78"/>
  <c r="E86" s="1"/>
  <c r="D78"/>
  <c r="D86" s="1"/>
  <c r="H55" i="4"/>
  <c r="G55"/>
  <c r="F55"/>
  <c r="E55"/>
  <c r="D55"/>
  <c r="D54"/>
  <c r="H62"/>
  <c r="G62"/>
  <c r="F62"/>
  <c r="E62"/>
  <c r="D62"/>
  <c r="D61"/>
  <c r="M59" i="5"/>
  <c r="L59"/>
  <c r="K59"/>
  <c r="J59"/>
  <c r="I59"/>
  <c r="M47" i="4"/>
  <c r="M40"/>
  <c r="M33"/>
  <c r="M30"/>
  <c r="M29"/>
  <c r="L29" i="5"/>
  <c r="I29"/>
  <c r="K29"/>
  <c r="M26" i="4"/>
  <c r="M25"/>
  <c r="M24"/>
  <c r="M23"/>
  <c r="M22"/>
  <c r="M20"/>
  <c r="L20"/>
  <c r="M9" i="5"/>
  <c r="M12" i="4"/>
  <c r="M9"/>
  <c r="F156" i="5" l="1"/>
  <c r="G78"/>
  <c r="G86" s="1"/>
  <c r="E156"/>
  <c r="F78"/>
  <c r="F86" s="1"/>
  <c r="H156"/>
  <c r="H68"/>
  <c r="G156"/>
  <c r="H78"/>
  <c r="G68"/>
  <c r="G76" s="1"/>
  <c r="M125" i="2"/>
  <c r="M175" i="1"/>
  <c r="J166"/>
  <c r="K166"/>
  <c r="I166"/>
  <c r="J111" i="2"/>
  <c r="K111"/>
  <c r="L111"/>
  <c r="I111"/>
  <c r="H153" i="1" l="1"/>
  <c r="H156" s="1"/>
  <c r="G153"/>
  <c r="G156" s="1"/>
  <c r="F153"/>
  <c r="F156" s="1"/>
  <c r="E153"/>
  <c r="E156" s="1"/>
  <c r="D153"/>
  <c r="D156" s="1"/>
  <c r="J104" i="2"/>
  <c r="I104"/>
  <c r="K89" l="1"/>
  <c r="L79"/>
  <c r="K79"/>
  <c r="M113" i="1"/>
  <c r="M108" s="1"/>
  <c r="K113"/>
  <c r="K108" s="1"/>
  <c r="L113"/>
  <c r="L108" s="1"/>
  <c r="M33"/>
  <c r="M35" s="1"/>
  <c r="J62" i="2" l="1"/>
  <c r="K62"/>
  <c r="L62"/>
  <c r="M62"/>
  <c r="I62"/>
  <c r="J86" i="1"/>
  <c r="K86"/>
  <c r="L86"/>
  <c r="M86"/>
  <c r="I86"/>
  <c r="J73" l="1"/>
  <c r="K73"/>
  <c r="L73"/>
  <c r="M73"/>
  <c r="I73"/>
  <c r="J68"/>
  <c r="K68"/>
  <c r="L68"/>
  <c r="M68"/>
  <c r="I68"/>
  <c r="L76" l="1"/>
  <c r="K76"/>
  <c r="M76"/>
  <c r="I76"/>
  <c r="J76"/>
  <c r="G111" i="2"/>
  <c r="F111"/>
  <c r="E111"/>
  <c r="D111"/>
  <c r="G62"/>
  <c r="F62"/>
  <c r="E62"/>
  <c r="D62"/>
  <c r="G55"/>
  <c r="F55"/>
  <c r="E55"/>
  <c r="D55"/>
  <c r="M69" l="1"/>
  <c r="M93" i="1"/>
  <c r="M95" s="1"/>
  <c r="L48" i="2" l="1"/>
  <c r="M48"/>
  <c r="K48"/>
  <c r="M59" i="1"/>
  <c r="L59"/>
  <c r="K59"/>
  <c r="J59"/>
  <c r="I59"/>
  <c r="M66"/>
  <c r="L41" i="2"/>
  <c r="I55" i="1"/>
  <c r="J55"/>
  <c r="K55"/>
  <c r="L55"/>
  <c r="H55"/>
  <c r="M34" i="2" l="1"/>
  <c r="J13" i="1"/>
  <c r="J16" s="1"/>
  <c r="K13"/>
  <c r="K16" s="1"/>
  <c r="L13"/>
  <c r="L16" s="1"/>
  <c r="M13"/>
  <c r="M16" s="1"/>
  <c r="I13"/>
  <c r="I16" s="1"/>
  <c r="H19" i="4"/>
  <c r="I94"/>
  <c r="I95"/>
  <c r="H95"/>
  <c r="H94" s="1"/>
  <c r="H134" i="5"/>
  <c r="I134"/>
  <c r="K95" i="4"/>
  <c r="J95"/>
  <c r="J93"/>
  <c r="J96" s="1"/>
  <c r="K93"/>
  <c r="K96" s="1"/>
  <c r="L105" i="1"/>
  <c r="L26" i="4"/>
  <c r="L23"/>
  <c r="L27" s="1"/>
  <c r="L33" i="1"/>
  <c r="L35" s="1"/>
  <c r="L12" i="4"/>
  <c r="K75"/>
  <c r="K76"/>
  <c r="L124"/>
  <c r="L123"/>
  <c r="K125"/>
  <c r="J124"/>
  <c r="J123"/>
  <c r="I123"/>
  <c r="I125" i="2"/>
  <c r="J125"/>
  <c r="K125"/>
  <c r="L125"/>
  <c r="J38" i="1"/>
  <c r="K38"/>
  <c r="L46"/>
  <c r="K43"/>
  <c r="J43"/>
  <c r="J46" s="1"/>
  <c r="H42"/>
  <c r="H38" s="1"/>
  <c r="H46" s="1"/>
  <c r="L34" i="2"/>
  <c r="K23" i="1"/>
  <c r="L109" i="5"/>
  <c r="L47" i="4"/>
  <c r="L48" s="1"/>
  <c r="H89" i="5"/>
  <c r="L67" i="4"/>
  <c r="L65"/>
  <c r="L68" s="1"/>
  <c r="L93" i="1"/>
  <c r="L95" s="1"/>
  <c r="L69" i="2"/>
  <c r="L89" i="1"/>
  <c r="L76" i="4"/>
  <c r="J75"/>
  <c r="J76" s="1"/>
  <c r="L66" i="1"/>
  <c r="K98" i="5"/>
  <c r="K99"/>
  <c r="J99"/>
  <c r="J98" s="1"/>
  <c r="I99"/>
  <c r="L114" i="4"/>
  <c r="L118"/>
  <c r="L125"/>
  <c r="J139" i="1"/>
  <c r="J41" i="2"/>
  <c r="K41"/>
  <c r="L33" i="4"/>
  <c r="L30"/>
  <c r="L34" s="1"/>
  <c r="I83"/>
  <c r="J83"/>
  <c r="K83"/>
  <c r="L83"/>
  <c r="I109" i="5"/>
  <c r="I108" s="1"/>
  <c r="L108"/>
  <c r="J109"/>
  <c r="H109"/>
  <c r="L9"/>
  <c r="L8" s="1"/>
  <c r="K23" i="4"/>
  <c r="K27"/>
  <c r="J23"/>
  <c r="J27" s="1"/>
  <c r="I23"/>
  <c r="I27"/>
  <c r="L118" i="5"/>
  <c r="L86" i="4"/>
  <c r="L90"/>
  <c r="K20" i="2"/>
  <c r="K133" i="1"/>
  <c r="K136" s="1"/>
  <c r="K126"/>
  <c r="J23"/>
  <c r="J26" s="1"/>
  <c r="K86" i="4"/>
  <c r="K90"/>
  <c r="K33" i="1"/>
  <c r="K35" s="1"/>
  <c r="K118" i="5"/>
  <c r="K19" i="4"/>
  <c r="K18"/>
  <c r="K16"/>
  <c r="K15"/>
  <c r="J125"/>
  <c r="I75"/>
  <c r="I76" s="1"/>
  <c r="J33" i="1"/>
  <c r="I33"/>
  <c r="K105"/>
  <c r="E8" i="5"/>
  <c r="E16" s="1"/>
  <c r="F9"/>
  <c r="F8" s="1"/>
  <c r="F16" s="1"/>
  <c r="G9"/>
  <c r="G8" s="1"/>
  <c r="G16" s="1"/>
  <c r="H9"/>
  <c r="H8" s="1"/>
  <c r="H16" s="1"/>
  <c r="I9"/>
  <c r="I8" s="1"/>
  <c r="J9"/>
  <c r="J8" s="1"/>
  <c r="K8"/>
  <c r="D18"/>
  <c r="D26" s="1"/>
  <c r="E18"/>
  <c r="E26" s="1"/>
  <c r="F18"/>
  <c r="F26" s="1"/>
  <c r="G18"/>
  <c r="G26" s="1"/>
  <c r="H18"/>
  <c r="H26" s="1"/>
  <c r="F29"/>
  <c r="G29"/>
  <c r="H29"/>
  <c r="H30"/>
  <c r="F30"/>
  <c r="G30"/>
  <c r="F31"/>
  <c r="G31"/>
  <c r="H31"/>
  <c r="F32"/>
  <c r="G32"/>
  <c r="H32"/>
  <c r="F33"/>
  <c r="G33"/>
  <c r="H33"/>
  <c r="H34"/>
  <c r="F34"/>
  <c r="G34"/>
  <c r="F46"/>
  <c r="G46"/>
  <c r="E48"/>
  <c r="E56" s="1"/>
  <c r="F48"/>
  <c r="F56" s="1"/>
  <c r="G48"/>
  <c r="G56" s="1"/>
  <c r="H48"/>
  <c r="H56" s="1"/>
  <c r="D56"/>
  <c r="D58"/>
  <c r="D66" s="1"/>
  <c r="E58"/>
  <c r="E66" s="1"/>
  <c r="G59"/>
  <c r="F60"/>
  <c r="G60"/>
  <c r="H60"/>
  <c r="F61"/>
  <c r="G61"/>
  <c r="H61"/>
  <c r="F62"/>
  <c r="G62"/>
  <c r="H62"/>
  <c r="F63"/>
  <c r="G63"/>
  <c r="H63"/>
  <c r="F64"/>
  <c r="G64"/>
  <c r="H64"/>
  <c r="D88"/>
  <c r="D96" s="1"/>
  <c r="E88"/>
  <c r="E96" s="1"/>
  <c r="F88"/>
  <c r="G88"/>
  <c r="H88"/>
  <c r="F96"/>
  <c r="G96"/>
  <c r="H96"/>
  <c r="D98"/>
  <c r="E98"/>
  <c r="I98"/>
  <c r="F100"/>
  <c r="G100"/>
  <c r="H100"/>
  <c r="H98" s="1"/>
  <c r="H106" s="1"/>
  <c r="F101"/>
  <c r="F98"/>
  <c r="F106" s="1"/>
  <c r="G101"/>
  <c r="H101"/>
  <c r="D108"/>
  <c r="D116" s="1"/>
  <c r="E108"/>
  <c r="E116" s="1"/>
  <c r="F108"/>
  <c r="F116" s="1"/>
  <c r="G108"/>
  <c r="G116" s="1"/>
  <c r="H108"/>
  <c r="H116" s="1"/>
  <c r="D118"/>
  <c r="E118"/>
  <c r="F118"/>
  <c r="F126" s="1"/>
  <c r="G118"/>
  <c r="G126" s="1"/>
  <c r="H118"/>
  <c r="I118"/>
  <c r="D119"/>
  <c r="E119"/>
  <c r="D121"/>
  <c r="E121"/>
  <c r="D123"/>
  <c r="E123"/>
  <c r="H126"/>
  <c r="D126"/>
  <c r="E126"/>
  <c r="D138"/>
  <c r="D146" s="1"/>
  <c r="E138"/>
  <c r="E146" s="1"/>
  <c r="G146"/>
  <c r="H138"/>
  <c r="F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6"/>
  <c r="H146"/>
  <c r="I158"/>
  <c r="J158"/>
  <c r="K158"/>
  <c r="D159"/>
  <c r="D160"/>
  <c r="F160"/>
  <c r="G160"/>
  <c r="D161"/>
  <c r="E161"/>
  <c r="E158" s="1"/>
  <c r="F161"/>
  <c r="G161"/>
  <c r="H161"/>
  <c r="H158" s="1"/>
  <c r="H166" s="1"/>
  <c r="D162"/>
  <c r="E162"/>
  <c r="F162"/>
  <c r="G162"/>
  <c r="H162"/>
  <c r="D164"/>
  <c r="E164"/>
  <c r="F164"/>
  <c r="G164"/>
  <c r="D168"/>
  <c r="D176" s="1"/>
  <c r="E168"/>
  <c r="F168"/>
  <c r="F176" s="1"/>
  <c r="G168"/>
  <c r="G176" s="1"/>
  <c r="H168"/>
  <c r="H176" s="1"/>
  <c r="E176"/>
  <c r="D9" i="4"/>
  <c r="E9"/>
  <c r="F9"/>
  <c r="G9"/>
  <c r="H9"/>
  <c r="I9"/>
  <c r="J9"/>
  <c r="K9"/>
  <c r="D12"/>
  <c r="E12"/>
  <c r="F12"/>
  <c r="G12"/>
  <c r="H12"/>
  <c r="I12"/>
  <c r="J12"/>
  <c r="K12"/>
  <c r="D15"/>
  <c r="D20" s="1"/>
  <c r="E15"/>
  <c r="E20" s="1"/>
  <c r="H15"/>
  <c r="I15"/>
  <c r="I20" s="1"/>
  <c r="J15"/>
  <c r="J20" s="1"/>
  <c r="D16"/>
  <c r="E16"/>
  <c r="H16"/>
  <c r="H20" s="1"/>
  <c r="I16"/>
  <c r="J16"/>
  <c r="D18"/>
  <c r="E18"/>
  <c r="H18"/>
  <c r="I18"/>
  <c r="J18"/>
  <c r="D19"/>
  <c r="E19"/>
  <c r="I19"/>
  <c r="J19"/>
  <c r="F20"/>
  <c r="G20"/>
  <c r="J30"/>
  <c r="J34"/>
  <c r="K30"/>
  <c r="K34" s="1"/>
  <c r="K33"/>
  <c r="D34"/>
  <c r="E34"/>
  <c r="F34"/>
  <c r="G34"/>
  <c r="H34"/>
  <c r="I34"/>
  <c r="D41"/>
  <c r="E41"/>
  <c r="F41"/>
  <c r="G41"/>
  <c r="H41"/>
  <c r="I41"/>
  <c r="D47"/>
  <c r="D48" s="1"/>
  <c r="J47"/>
  <c r="K47"/>
  <c r="E48"/>
  <c r="F48"/>
  <c r="G48"/>
  <c r="H48"/>
  <c r="I48"/>
  <c r="J48"/>
  <c r="K48"/>
  <c r="E64"/>
  <c r="D65"/>
  <c r="D69" s="1"/>
  <c r="E65"/>
  <c r="F65"/>
  <c r="F68" s="1"/>
  <c r="F69" s="1"/>
  <c r="G65"/>
  <c r="G68" s="1"/>
  <c r="G69" s="1"/>
  <c r="H65"/>
  <c r="J65"/>
  <c r="J69"/>
  <c r="K65"/>
  <c r="K69" s="1"/>
  <c r="D67"/>
  <c r="E67"/>
  <c r="F67"/>
  <c r="G67"/>
  <c r="H67"/>
  <c r="J67"/>
  <c r="K67"/>
  <c r="J68"/>
  <c r="K68"/>
  <c r="I69"/>
  <c r="D76"/>
  <c r="E76"/>
  <c r="F76"/>
  <c r="G76"/>
  <c r="H76"/>
  <c r="D83"/>
  <c r="E83"/>
  <c r="F83"/>
  <c r="G83"/>
  <c r="H83"/>
  <c r="D90"/>
  <c r="E90"/>
  <c r="F90"/>
  <c r="G90"/>
  <c r="H90"/>
  <c r="I90"/>
  <c r="J90"/>
  <c r="D104"/>
  <c r="E104"/>
  <c r="F104"/>
  <c r="G104"/>
  <c r="H104"/>
  <c r="I104"/>
  <c r="J104"/>
  <c r="K104"/>
  <c r="D114"/>
  <c r="E114"/>
  <c r="E117"/>
  <c r="F114"/>
  <c r="F117" s="1"/>
  <c r="G114"/>
  <c r="G117"/>
  <c r="K114"/>
  <c r="K118" s="1"/>
  <c r="D117"/>
  <c r="K117"/>
  <c r="D124"/>
  <c r="D125" s="1"/>
  <c r="E124"/>
  <c r="E125"/>
  <c r="F124"/>
  <c r="F125" s="1"/>
  <c r="G124"/>
  <c r="G125" s="1"/>
  <c r="H124"/>
  <c r="H125"/>
  <c r="I125"/>
  <c r="D13" i="2"/>
  <c r="E13"/>
  <c r="F13"/>
  <c r="G13"/>
  <c r="H13"/>
  <c r="I13"/>
  <c r="J13"/>
  <c r="K13"/>
  <c r="C16"/>
  <c r="C20" s="1"/>
  <c r="E16"/>
  <c r="F16"/>
  <c r="F20" s="1"/>
  <c r="G16"/>
  <c r="G20" s="1"/>
  <c r="H16"/>
  <c r="H20" s="1"/>
  <c r="I16"/>
  <c r="I20" s="1"/>
  <c r="D20"/>
  <c r="E20"/>
  <c r="J20"/>
  <c r="E27"/>
  <c r="F27"/>
  <c r="G27"/>
  <c r="D34"/>
  <c r="E34"/>
  <c r="F34"/>
  <c r="G34"/>
  <c r="H34"/>
  <c r="I34"/>
  <c r="J34"/>
  <c r="K34"/>
  <c r="C41"/>
  <c r="D41"/>
  <c r="E41"/>
  <c r="F41"/>
  <c r="G41"/>
  <c r="H41"/>
  <c r="I41"/>
  <c r="D48"/>
  <c r="E48"/>
  <c r="F48"/>
  <c r="G48"/>
  <c r="H48"/>
  <c r="I48"/>
  <c r="J48"/>
  <c r="D69"/>
  <c r="E69"/>
  <c r="F69"/>
  <c r="G69"/>
  <c r="H69"/>
  <c r="I69"/>
  <c r="J69"/>
  <c r="K69"/>
  <c r="D76"/>
  <c r="E76"/>
  <c r="F76"/>
  <c r="G76"/>
  <c r="H76"/>
  <c r="D83"/>
  <c r="E83"/>
  <c r="F83"/>
  <c r="G83"/>
  <c r="H83"/>
  <c r="I83"/>
  <c r="J83"/>
  <c r="D90"/>
  <c r="E90"/>
  <c r="F90"/>
  <c r="G90"/>
  <c r="H90"/>
  <c r="D100"/>
  <c r="E100"/>
  <c r="D102"/>
  <c r="E102"/>
  <c r="E104" s="1"/>
  <c r="F104"/>
  <c r="G104"/>
  <c r="H104"/>
  <c r="D118"/>
  <c r="E118"/>
  <c r="F118"/>
  <c r="G118"/>
  <c r="H118"/>
  <c r="D125"/>
  <c r="E125"/>
  <c r="F125"/>
  <c r="G125"/>
  <c r="H125"/>
  <c r="D13" i="1"/>
  <c r="E13"/>
  <c r="F13"/>
  <c r="G13"/>
  <c r="D16"/>
  <c r="E16"/>
  <c r="F16"/>
  <c r="G16"/>
  <c r="H16"/>
  <c r="C18"/>
  <c r="C25" s="1"/>
  <c r="C23" s="1"/>
  <c r="C26" s="1"/>
  <c r="D19"/>
  <c r="D18" s="1"/>
  <c r="D25" s="1"/>
  <c r="D23" s="1"/>
  <c r="D26" s="1"/>
  <c r="E19"/>
  <c r="F19"/>
  <c r="F18" s="1"/>
  <c r="G19"/>
  <c r="G18" s="1"/>
  <c r="H19"/>
  <c r="H18" s="1"/>
  <c r="I19"/>
  <c r="I18" s="1"/>
  <c r="E22"/>
  <c r="F23"/>
  <c r="G23"/>
  <c r="H23"/>
  <c r="I23"/>
  <c r="E28"/>
  <c r="E36" s="1"/>
  <c r="F28"/>
  <c r="F36" s="1"/>
  <c r="G28"/>
  <c r="G36" s="1"/>
  <c r="H28"/>
  <c r="D38"/>
  <c r="D46" s="1"/>
  <c r="E38"/>
  <c r="E46" s="1"/>
  <c r="F38"/>
  <c r="F46" s="1"/>
  <c r="G38"/>
  <c r="G46" s="1"/>
  <c r="I46"/>
  <c r="C48"/>
  <c r="D48"/>
  <c r="E48"/>
  <c r="F48"/>
  <c r="G48"/>
  <c r="H48"/>
  <c r="C53"/>
  <c r="D53"/>
  <c r="E53"/>
  <c r="F53"/>
  <c r="G53"/>
  <c r="D58"/>
  <c r="E58"/>
  <c r="F58"/>
  <c r="F66" s="1"/>
  <c r="G58"/>
  <c r="G66" s="1"/>
  <c r="H58"/>
  <c r="H66" s="1"/>
  <c r="I58"/>
  <c r="I66" s="1"/>
  <c r="J58"/>
  <c r="J66" s="1"/>
  <c r="K58"/>
  <c r="K66" s="1"/>
  <c r="D63"/>
  <c r="E63"/>
  <c r="F63"/>
  <c r="D89"/>
  <c r="E89"/>
  <c r="F89"/>
  <c r="G89"/>
  <c r="H89"/>
  <c r="I89"/>
  <c r="J89"/>
  <c r="K89"/>
  <c r="F90"/>
  <c r="H94"/>
  <c r="I94"/>
  <c r="I93" s="1"/>
  <c r="I96" s="1"/>
  <c r="J94"/>
  <c r="J93" s="1"/>
  <c r="J96" s="1"/>
  <c r="K94"/>
  <c r="K93" s="1"/>
  <c r="K96" s="1"/>
  <c r="D95"/>
  <c r="D93" s="1"/>
  <c r="D96" s="1"/>
  <c r="E95"/>
  <c r="E93" s="1"/>
  <c r="E96" s="1"/>
  <c r="F95"/>
  <c r="F93" s="1"/>
  <c r="F96" s="1"/>
  <c r="G95"/>
  <c r="G93" s="1"/>
  <c r="G96" s="1"/>
  <c r="H95"/>
  <c r="D106"/>
  <c r="E106"/>
  <c r="F106"/>
  <c r="G106"/>
  <c r="H106"/>
  <c r="I106"/>
  <c r="F113"/>
  <c r="F116" s="1"/>
  <c r="G113"/>
  <c r="H113"/>
  <c r="H116" s="1"/>
  <c r="I113"/>
  <c r="I116" s="1"/>
  <c r="J113"/>
  <c r="J116" s="1"/>
  <c r="D115"/>
  <c r="D113" s="1"/>
  <c r="D116" s="1"/>
  <c r="E115"/>
  <c r="E113" s="1"/>
  <c r="E116" s="1"/>
  <c r="G116"/>
  <c r="D126"/>
  <c r="D123" s="1"/>
  <c r="E126"/>
  <c r="E123" s="1"/>
  <c r="F126"/>
  <c r="F123" s="1"/>
  <c r="G126"/>
  <c r="G123" s="1"/>
  <c r="H126"/>
  <c r="H123" s="1"/>
  <c r="I126"/>
  <c r="J126"/>
  <c r="I133"/>
  <c r="I136" s="1"/>
  <c r="J133"/>
  <c r="J136" s="1"/>
  <c r="E136"/>
  <c r="F136"/>
  <c r="G136"/>
  <c r="H136"/>
  <c r="K139"/>
  <c r="D143"/>
  <c r="D146" s="1"/>
  <c r="E143"/>
  <c r="E146" s="1"/>
  <c r="F143"/>
  <c r="F146" s="1"/>
  <c r="G143"/>
  <c r="G146" s="1"/>
  <c r="H143"/>
  <c r="H146" s="1"/>
  <c r="I143"/>
  <c r="K143"/>
  <c r="D158"/>
  <c r="E158"/>
  <c r="F158"/>
  <c r="G158"/>
  <c r="H158"/>
  <c r="D163"/>
  <c r="E163"/>
  <c r="F163"/>
  <c r="G163"/>
  <c r="H163"/>
  <c r="D168"/>
  <c r="E168"/>
  <c r="F168"/>
  <c r="G168"/>
  <c r="H168"/>
  <c r="D173"/>
  <c r="E173"/>
  <c r="F173"/>
  <c r="G173"/>
  <c r="H173"/>
  <c r="G28" i="5"/>
  <c r="G36"/>
  <c r="E120"/>
  <c r="D120"/>
  <c r="H59"/>
  <c r="F59"/>
  <c r="F58" s="1"/>
  <c r="F66" s="1"/>
  <c r="K20" i="4"/>
  <c r="J143" i="1"/>
  <c r="H28" i="5"/>
  <c r="H68" i="4"/>
  <c r="H69" s="1"/>
  <c r="D68"/>
  <c r="H36" i="5"/>
  <c r="F28"/>
  <c r="F36"/>
  <c r="G138"/>
  <c r="F56" i="1" l="1"/>
  <c r="J105" i="5"/>
  <c r="J106"/>
  <c r="K15"/>
  <c r="K16"/>
  <c r="L15"/>
  <c r="L16"/>
  <c r="H58"/>
  <c r="G158"/>
  <c r="I105"/>
  <c r="I106" s="1"/>
  <c r="I16"/>
  <c r="I15"/>
  <c r="J15"/>
  <c r="J16" s="1"/>
  <c r="K105"/>
  <c r="K106" s="1"/>
  <c r="G98"/>
  <c r="G106" s="1"/>
  <c r="D158"/>
  <c r="D166" s="1"/>
  <c r="E166"/>
  <c r="K46" i="1"/>
  <c r="E166"/>
  <c r="F158" i="5"/>
  <c r="F166" s="1"/>
  <c r="G166"/>
  <c r="G58"/>
  <c r="G66" s="1"/>
  <c r="H166" i="1"/>
  <c r="G26"/>
  <c r="D66"/>
  <c r="F26"/>
  <c r="F176"/>
  <c r="E176"/>
  <c r="E66"/>
  <c r="G56"/>
  <c r="D56"/>
  <c r="G176"/>
  <c r="D166"/>
  <c r="E56"/>
  <c r="H26"/>
  <c r="G166"/>
  <c r="H176"/>
  <c r="D176"/>
  <c r="F166"/>
  <c r="H93"/>
  <c r="H96" s="1"/>
  <c r="C56"/>
  <c r="I26"/>
  <c r="E18"/>
  <c r="E25" s="1"/>
  <c r="E23" s="1"/>
  <c r="E26" s="1"/>
  <c r="D104" i="2"/>
  <c r="E68" i="4"/>
  <c r="E69" s="1"/>
  <c r="K168" i="1"/>
  <c r="I168"/>
  <c r="J168"/>
  <c r="K156"/>
  <c r="J156"/>
</calcChain>
</file>

<file path=xl/comments1.xml><?xml version="1.0" encoding="utf-8"?>
<comments xmlns="http://schemas.openxmlformats.org/spreadsheetml/2006/main">
  <authors>
    <author>664650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check financial statement 2013-2014 table 5
+ one period ahead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Ministry of Finance De 2013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2012-2013
table 3 page 39 2008-2009 2012-2013
one period ahead</t>
        </r>
      </text>
    </comment>
    <comment ref="A57" authorId="0">
      <text>
        <r>
          <rPr>
            <b/>
            <sz val="9"/>
            <color indexed="81"/>
            <rFont val="Tahoma"/>
          </rPr>
          <t>MOF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check report 1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www.finances.gov.ma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CBO annual report 2014
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PMA
+ ratios from mof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calculated as ratios from the mof's annual reports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calculated as ratios from the mof's annual reports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calculated as ratios from the mof's annual reports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period differences
+ different from central bank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mof / SAMA
2013 not available</t>
        </r>
      </text>
    </comment>
    <comment ref="A12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property tax others or individual and corporate
table 2-6 page 103
+ grants? (added in other non tax revenues only?)
+ other revenues?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http://www.cbos.gov.sd/sites/default/files/annual_2013arabic.pdf
page 103
2013 and previous</t>
        </r>
      </text>
    </comment>
    <comment ref="A133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nontax revenues + grants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>annual report central bank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ministry of finance 55 and 54  table 8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property income was used instead of oil and gas in table 8
updated from table 10/1</t>
        </r>
      </text>
    </comment>
  </commentList>
</comments>
</file>

<file path=xl/comments2.xml><?xml version="1.0" encoding="utf-8"?>
<comments xmlns="http://schemas.openxmlformats.org/spreadsheetml/2006/main">
  <authors>
    <author>664650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check table 5
one period ahead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one period ahead 
2013 not available
table 4 page 43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MOF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PMA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MOF 2013-2014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تكلفة التمويل؟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central bank annual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table 20-1 54
table 18-1 55</t>
        </r>
      </text>
    </comment>
  </commentList>
</comments>
</file>

<file path=xl/comments3.xml><?xml version="1.0" encoding="utf-8"?>
<comments xmlns="http://schemas.openxmlformats.org/spreadsheetml/2006/main">
  <authors>
    <author>664650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end of June 2013 central bank eco review 2012-2013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check annual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Sadim:
</t>
        </r>
        <r>
          <rPr>
            <sz val="9"/>
            <color indexed="81"/>
            <rFont val="Tahoma"/>
            <family val="2"/>
          </rPr>
          <t>different central bank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Sadim:
http://cbl.gov.ly/ar/images/stories/bohot/RESERVE3.pdf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Sama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different numbers in different tables 
page 36- page 46- page 50- tables - page 36 closest - used page 36</t>
        </r>
      </text>
    </comment>
  </commentList>
</comments>
</file>

<file path=xl/comments4.xml><?xml version="1.0" encoding="utf-8"?>
<comments xmlns="http://schemas.openxmlformats.org/spreadsheetml/2006/main">
  <authors>
    <author>664650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Sadim</t>
        </r>
        <r>
          <rPr>
            <sz val="9"/>
            <color indexed="81"/>
            <rFont val="Tahoma"/>
            <family val="2"/>
          </rPr>
          <t xml:space="preserve">
MSB DEC 2013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computed in June 2013
central bank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cbj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include oil and gas? Not included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check table 11 quarter statistical bulletin (only last quarter?)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local trade missing</t>
        </r>
      </text>
    </comment>
    <comment ref="K95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local trade missing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 statistical bulletin</t>
        </r>
      </text>
    </comment>
  </commentList>
</comments>
</file>

<file path=xl/comments5.xml><?xml version="1.0" encoding="utf-8"?>
<comments xmlns="http://schemas.openxmlformats.org/spreadsheetml/2006/main">
  <authors>
    <author>664650</author>
    <author>Lenovo User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one period ahead + differences (BOP)</t>
        </r>
      </text>
    </comment>
    <comment ref="Y26" authorId="1">
      <text>
        <r>
          <rPr>
            <b/>
            <sz val="8"/>
            <color indexed="81"/>
            <rFont val="Tahoma"/>
            <family val="2"/>
          </rPr>
          <t>average exchange rate 2010 - Iraq Central Bank/ Statistics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 bop</t>
        </r>
      </text>
    </comment>
    <comment ref="AG46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data taken from Balance of Payment Statistics(IFS, IMF e-Libarary Data) in US dollars,Millions)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exchange rate / from cenrtal bank of Kuwait - Average exchange rate for 2010 period 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adding 4 quarters</t>
        </r>
      </text>
    </comment>
    <comment ref="AG49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F.O.B= Balance of goods + services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Primary income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 xml:space="preserve">Sadim:
</t>
        </r>
        <r>
          <rPr>
            <sz val="9"/>
            <color indexed="81"/>
            <rFont val="Tahoma"/>
            <family val="2"/>
          </rPr>
          <t xml:space="preserve">secondary income considered current transfers
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664650:</t>
        </r>
        <r>
          <rPr>
            <sz val="9"/>
            <color indexed="81"/>
            <rFont val="Tahoma"/>
            <family val="2"/>
          </rPr>
          <t xml:space="preserve">
million USD or billion LBP?? Check report Q4 2013
2013 only first 2 quarters available</t>
        </r>
      </text>
    </comment>
    <comment ref="Z58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according to Balance of Payment from Central Bank- 1st quarter 2011 bulletin</t>
        </r>
      </text>
    </comment>
    <comment ref="Z68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according to Balance of Payment from Central Bank- 1st quarter 2011 bulletin</t>
        </r>
      </text>
    </comment>
    <comment ref="Z78" authorId="1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according to Balance of Payment from Central Bank- 1st quarter 2011 bulletin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2011-2012-2013 statistical gap
2009-2010 no statistical gap
2008 statistical discrepancy + 11478 total
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table 6-11 CBO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palestine monetary authority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Qatar Central Bank
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revised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SAMA quarterly bulletin page 84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signs</t>
        </r>
      </text>
    </comment>
    <comment ref="A12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available in million USD
central bank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 annual report</t>
        </r>
      </text>
    </comment>
    <comment ref="A15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central bank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monetary and banking dev. June 2014
central bank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capital and financial account = financial account</t>
        </r>
      </text>
    </comment>
  </commentList>
</comments>
</file>

<file path=xl/comments6.xml><?xml version="1.0" encoding="utf-8"?>
<comments xmlns="http://schemas.openxmlformats.org/spreadsheetml/2006/main">
  <authors>
    <author>664650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from inflation outlook annual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value calculated by taking inflation from old file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from inflation outlook annual</t>
        </r>
      </text>
    </comment>
  </commentList>
</comments>
</file>

<file path=xl/comments7.xml><?xml version="1.0" encoding="utf-8"?>
<comments xmlns="http://schemas.openxmlformats.org/spreadsheetml/2006/main">
  <authors>
    <author>664650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 xml:space="preserve">Sadim:
</t>
        </r>
        <r>
          <rPr>
            <sz val="9"/>
            <color indexed="81"/>
            <rFont val="Tahoma"/>
            <family val="2"/>
          </rPr>
          <t xml:space="preserve">value calculated by using inflation from the old file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Sadim:
</t>
        </r>
        <r>
          <rPr>
            <sz val="9"/>
            <color indexed="81"/>
            <rFont val="Tahoma"/>
            <family val="2"/>
          </rPr>
          <t xml:space="preserve">
Values calculated by taking inflation from the old file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value calculated by taking inflation from old file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value calculated by taking inflation from old file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value calculated by taking inflation from old file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Sadim:</t>
        </r>
        <r>
          <rPr>
            <sz val="9"/>
            <color indexed="81"/>
            <rFont val="Tahoma"/>
            <family val="2"/>
          </rPr>
          <t xml:space="preserve">
from 2008 till 2011: values calculated with inflations from old file</t>
        </r>
      </text>
    </comment>
  </commentList>
</comments>
</file>

<file path=xl/sharedStrings.xml><?xml version="1.0" encoding="utf-8"?>
<sst xmlns="http://schemas.openxmlformats.org/spreadsheetml/2006/main" count="2727" uniqueCount="322">
  <si>
    <t xml:space="preserve">الإيرادات الحكومية </t>
  </si>
  <si>
    <t>Country</t>
  </si>
  <si>
    <t>البلـــــد</t>
  </si>
  <si>
    <t>Currency</t>
  </si>
  <si>
    <t>العملة</t>
  </si>
  <si>
    <t>مليون دينار</t>
  </si>
  <si>
    <t>Lebanon</t>
  </si>
  <si>
    <t>لبــــنان</t>
  </si>
  <si>
    <t xml:space="preserve">Egypt  </t>
  </si>
  <si>
    <t xml:space="preserve">Iraq  </t>
  </si>
  <si>
    <t xml:space="preserve">Jordan  </t>
  </si>
  <si>
    <t xml:space="preserve">Kuwait  </t>
  </si>
  <si>
    <t xml:space="preserve">Oman  </t>
  </si>
  <si>
    <t xml:space="preserve">Syrian Arab Republic  </t>
  </si>
  <si>
    <t xml:space="preserve">السودان </t>
  </si>
  <si>
    <t xml:space="preserve">عمان  </t>
  </si>
  <si>
    <t xml:space="preserve">العراق </t>
  </si>
  <si>
    <t xml:space="preserve">الإمارات العربية المتحدة  </t>
  </si>
  <si>
    <t>مليون دولار</t>
  </si>
  <si>
    <t>Million Dollar</t>
  </si>
  <si>
    <t xml:space="preserve">عرض النقد (ن1) </t>
  </si>
  <si>
    <t>عرض النقد (ن2) ‏</t>
  </si>
  <si>
    <t>عرض النقد (ن3) ‏</t>
  </si>
  <si>
    <t>ميزان المدفوعات</t>
  </si>
  <si>
    <t xml:space="preserve">A-Current Account </t>
  </si>
  <si>
    <t xml:space="preserve">أ- الحساب الجاري </t>
  </si>
  <si>
    <t xml:space="preserve">B-Capital Account </t>
  </si>
  <si>
    <t>ب- الحساب  الرأسمالي (صافي)</t>
  </si>
  <si>
    <t xml:space="preserve">C-Financial  Account (net) </t>
  </si>
  <si>
    <t xml:space="preserve">ج- الحساب المالي (صافي) </t>
  </si>
  <si>
    <t>D-Net Errors and Omissions</t>
  </si>
  <si>
    <t>د- صافي السهو و الخطأ</t>
  </si>
  <si>
    <t xml:space="preserve"> Tax Revenues</t>
  </si>
  <si>
    <t>الإيرادات الضريبية</t>
  </si>
  <si>
    <t xml:space="preserve">     - Goods and Services </t>
  </si>
  <si>
    <t xml:space="preserve">     - الضرائب على السلع والخدمات</t>
  </si>
  <si>
    <t xml:space="preserve">     - International Trade</t>
  </si>
  <si>
    <t xml:space="preserve">     - الضرائب على التجارة الخارجية</t>
  </si>
  <si>
    <t xml:space="preserve">     - Other</t>
  </si>
  <si>
    <t xml:space="preserve">     - أخرى</t>
  </si>
  <si>
    <t xml:space="preserve"> Non-Tax Revenues</t>
  </si>
  <si>
    <t>الإيرادات غيرالضريبية</t>
  </si>
  <si>
    <t xml:space="preserve">     - Oil &amp; Gas</t>
  </si>
  <si>
    <t xml:space="preserve">     - النفط و الغاز الطبيعي</t>
  </si>
  <si>
    <t>Total revenues</t>
  </si>
  <si>
    <t xml:space="preserve">مجموع الايرادات </t>
  </si>
  <si>
    <t>Expenditures (economic)</t>
  </si>
  <si>
    <t>التصنيف الاقتصادي للنفقات</t>
  </si>
  <si>
    <t>أ.  النفقات الجارية</t>
  </si>
  <si>
    <t xml:space="preserve">     Interest payments</t>
  </si>
  <si>
    <t>B. Capital expenditure</t>
  </si>
  <si>
    <t>ـــــــــــ</t>
  </si>
  <si>
    <t>C. Other expenditures</t>
  </si>
  <si>
    <t>Total expenditures (A+B+C)</t>
  </si>
  <si>
    <t>إجمالي النفقات ( أ + ب + ج )</t>
  </si>
  <si>
    <t xml:space="preserve">A. Current expenditures, of which </t>
  </si>
  <si>
    <t xml:space="preserve">  - Factor Income</t>
  </si>
  <si>
    <t xml:space="preserve">  - Current transfers</t>
  </si>
  <si>
    <t xml:space="preserve">  - الميزان التجاري(فوب)</t>
  </si>
  <si>
    <t xml:space="preserve">  - الدخل (صافي)</t>
  </si>
  <si>
    <t xml:space="preserve">  - التحويلات الجارية</t>
  </si>
  <si>
    <t>…</t>
  </si>
  <si>
    <t>Agriculture, hunting and  forestry</t>
  </si>
  <si>
    <t>Trade</t>
  </si>
  <si>
    <t>الزراعة وصيد الاسماك</t>
  </si>
  <si>
    <t>التعدين والمحاجر</t>
  </si>
  <si>
    <t>الإنشاء والتعمير</t>
  </si>
  <si>
    <t>التجارة</t>
  </si>
  <si>
    <t>أخرى</t>
  </si>
  <si>
    <t>Other activities</t>
  </si>
  <si>
    <t xml:space="preserve">Total </t>
  </si>
  <si>
    <t xml:space="preserve">الإجمالي </t>
  </si>
  <si>
    <t>مليون دولار أمريكي</t>
  </si>
  <si>
    <t xml:space="preserve">Inflows </t>
  </si>
  <si>
    <t xml:space="preserve">التدفقات الواردة    </t>
  </si>
  <si>
    <t>World</t>
  </si>
  <si>
    <t>العالم</t>
  </si>
  <si>
    <t>Developed economies</t>
  </si>
  <si>
    <t>الاقتصادات المتقدمة</t>
  </si>
  <si>
    <t>Developing and other economies</t>
  </si>
  <si>
    <t>الاقتصادات النامية وغيرها</t>
  </si>
  <si>
    <t xml:space="preserve">Bahrain </t>
  </si>
  <si>
    <t>البحرين</t>
  </si>
  <si>
    <t xml:space="preserve">Egypt </t>
  </si>
  <si>
    <t xml:space="preserve">مصر </t>
  </si>
  <si>
    <t>Iraq</t>
  </si>
  <si>
    <t>العراق</t>
  </si>
  <si>
    <t>Jordan</t>
  </si>
  <si>
    <t>الاردن</t>
  </si>
  <si>
    <t>Kuwait</t>
  </si>
  <si>
    <t>الكويت</t>
  </si>
  <si>
    <t xml:space="preserve">لبــــنان </t>
  </si>
  <si>
    <t>Oman</t>
  </si>
  <si>
    <t>عمان</t>
  </si>
  <si>
    <t>Palestine</t>
  </si>
  <si>
    <t>فلسطين</t>
  </si>
  <si>
    <t>Qatar</t>
  </si>
  <si>
    <t>قطر ‌</t>
  </si>
  <si>
    <t>المملكة العربية السعودية</t>
  </si>
  <si>
    <t xml:space="preserve">Syrian Arab Republic </t>
  </si>
  <si>
    <t>الجمهورية العربية السورية</t>
  </si>
  <si>
    <t xml:space="preserve">United Arab Emirates </t>
  </si>
  <si>
    <t>الإمارات العربية المتحدة</t>
  </si>
  <si>
    <t>Yemen</t>
  </si>
  <si>
    <t>اليمـــــن</t>
  </si>
  <si>
    <t>إجمالي الإسكوا</t>
  </si>
  <si>
    <t>Inward stock</t>
  </si>
  <si>
    <t>الرصيد الوارد</t>
  </si>
  <si>
    <t>البلد</t>
  </si>
  <si>
    <t>Egypt</t>
  </si>
  <si>
    <t xml:space="preserve">الجمهورية العربية السورية </t>
  </si>
  <si>
    <t>ESCWA</t>
  </si>
  <si>
    <t>الإسكوا</t>
  </si>
  <si>
    <t xml:space="preserve">Lebanon </t>
  </si>
  <si>
    <t>السودان</t>
  </si>
  <si>
    <t>اليمن</t>
  </si>
  <si>
    <t>Bahrain</t>
  </si>
  <si>
    <t>Saudi Arabia</t>
  </si>
  <si>
    <t>Syrian Arab Republic</t>
  </si>
  <si>
    <t>United Arab Emirates</t>
  </si>
  <si>
    <t xml:space="preserve">     - الضرائب على الدخل والأرباح </t>
  </si>
  <si>
    <t xml:space="preserve">     - Individual and corporate</t>
  </si>
  <si>
    <t xml:space="preserve">     - الضرائب على الدخل والأرباح</t>
  </si>
  <si>
    <t>ج- الحساب المالي (صافي)</t>
  </si>
  <si>
    <t xml:space="preserve"> المصدر:  المصرف المركزي الوطني أو سلطة النقد</t>
  </si>
  <si>
    <t>Source: Central Bank or National Monetary Authority</t>
  </si>
  <si>
    <t>مصر</t>
  </si>
  <si>
    <t>قطر</t>
  </si>
  <si>
    <t xml:space="preserve">المملكة العربية السعودية </t>
  </si>
  <si>
    <t xml:space="preserve">الإمارات العربية المتحدة </t>
  </si>
  <si>
    <t>Source: National Statistical Offices</t>
  </si>
  <si>
    <t>XI-1</t>
  </si>
  <si>
    <t>XI-2</t>
  </si>
  <si>
    <t>XI-3</t>
  </si>
  <si>
    <t>XI-4</t>
  </si>
  <si>
    <t>XI-5</t>
  </si>
  <si>
    <t>XI-6</t>
  </si>
  <si>
    <t>XI-7</t>
  </si>
  <si>
    <t>XI-8</t>
  </si>
  <si>
    <t>XI-9</t>
  </si>
  <si>
    <t>The Sudan</t>
  </si>
  <si>
    <t>-</t>
  </si>
  <si>
    <t>Miscellaneous goods and services   السلع والخدمات المتنوعة</t>
  </si>
  <si>
    <t>General عام</t>
  </si>
  <si>
    <t>Dinar (million)</t>
  </si>
  <si>
    <t xml:space="preserve"> دينار (مليون)</t>
  </si>
  <si>
    <t>Pound (million)</t>
  </si>
  <si>
    <t xml:space="preserve"> جنيه (مليون)</t>
  </si>
  <si>
    <t xml:space="preserve"> Dinar (million)</t>
  </si>
  <si>
    <t xml:space="preserve"> Pound (billion)</t>
  </si>
  <si>
    <t xml:space="preserve"> ليرة (مليار)</t>
  </si>
  <si>
    <t xml:space="preserve"> Rial (million)</t>
  </si>
  <si>
    <t>ريال (مليون )</t>
  </si>
  <si>
    <t xml:space="preserve"> Dollar (million)</t>
  </si>
  <si>
    <t xml:space="preserve"> دولار (مليون)</t>
  </si>
  <si>
    <t xml:space="preserve"> ليرة (مليون)</t>
  </si>
  <si>
    <t xml:space="preserve"> Dirham (million)</t>
  </si>
  <si>
    <t>درهم (مليون )</t>
  </si>
  <si>
    <t xml:space="preserve"> ريال (مليون )</t>
  </si>
  <si>
    <t>Pound (billion)</t>
  </si>
  <si>
    <t>النفقات الحكومية</t>
  </si>
  <si>
    <t>العرض النقدي</t>
  </si>
  <si>
    <t>Money supply</t>
  </si>
  <si>
    <t>Government expenditures</t>
  </si>
  <si>
    <t>Government revenues</t>
  </si>
  <si>
    <t xml:space="preserve">Money supply (M1) </t>
  </si>
  <si>
    <t xml:space="preserve">Money supply (M2) </t>
  </si>
  <si>
    <t xml:space="preserve">Money supply (M3) </t>
  </si>
  <si>
    <t>Banking credit by economic activity</t>
  </si>
  <si>
    <t>Mining, manufacturing and utilities</t>
  </si>
  <si>
    <t>Building and construction</t>
  </si>
  <si>
    <t>Balance of payments</t>
  </si>
  <si>
    <t>ليرة (مليار)</t>
  </si>
  <si>
    <t xml:space="preserve"> ريال (مليون)</t>
  </si>
  <si>
    <t xml:space="preserve"> Pound (million)</t>
  </si>
  <si>
    <t>جنيه (مليون)</t>
  </si>
  <si>
    <t xml:space="preserve"> درهم (مليون)</t>
  </si>
  <si>
    <t>Million US$</t>
  </si>
  <si>
    <t>Total ESCWA member countries</t>
  </si>
  <si>
    <t>Clothing and footwear الملابس والأحذية</t>
  </si>
  <si>
    <t>Transport and communication النقل والاتصالات</t>
  </si>
  <si>
    <t>Health-care services خدمات الرعاية الصحية</t>
  </si>
  <si>
    <t>Source: Central Bank or National Monetary Authority.</t>
  </si>
  <si>
    <t>عُمان</t>
  </si>
  <si>
    <t>ج.  نفقات أخرى</t>
  </si>
  <si>
    <t xml:space="preserve">    الفوائد</t>
  </si>
  <si>
    <t>ب. النفقات الرأسمالية</t>
  </si>
  <si>
    <t xml:space="preserve">            </t>
  </si>
  <si>
    <t xml:space="preserve">        </t>
  </si>
  <si>
    <t xml:space="preserve">  - Trade balance(F.O.B) </t>
  </si>
  <si>
    <t xml:space="preserve"> المصدر:  المصرف المركزي الوطني أو سلطة النقد.</t>
  </si>
  <si>
    <t xml:space="preserve"> (*) المصدر: الأونكتاد، تقرير الاستثمار العالمي، إصدارات متعددة و قاعدة بيانات الاستثمار الاجنبي المباشر.</t>
  </si>
  <si>
    <t>(*) Source: UNCTAD, World Investment Report,various issues and FDI database.</t>
  </si>
  <si>
    <r>
      <t>‌(*)</t>
    </r>
    <r>
      <rPr>
        <b/>
        <sz val="8"/>
        <rFont val="Arial Narrow"/>
        <family val="2"/>
      </rPr>
      <t>التثقيلات  Weights</t>
    </r>
    <r>
      <rPr>
        <b/>
        <vertAlign val="superscript"/>
        <sz val="8"/>
        <rFont val="Arial Narrow"/>
        <family val="2"/>
      </rPr>
      <t>(*)</t>
    </r>
  </si>
  <si>
    <t>المصدر: المكاتب الوطنية للإحصاء.</t>
  </si>
  <si>
    <r>
      <t>Food and beverages</t>
    </r>
    <r>
      <rPr>
        <b/>
        <vertAlign val="superscript"/>
        <sz val="9"/>
        <color theme="1"/>
        <rFont val="Arial Narrow"/>
        <family val="2"/>
      </rPr>
      <t>(*)</t>
    </r>
    <r>
      <rPr>
        <b/>
        <sz val="9"/>
        <color theme="1"/>
        <rFont val="Arial Narrow"/>
        <family val="2"/>
      </rPr>
      <t xml:space="preserve"> </t>
    </r>
    <r>
      <rPr>
        <b/>
        <vertAlign val="superscript"/>
        <sz val="9"/>
        <color theme="1"/>
        <rFont val="Arial Narrow"/>
        <family val="2"/>
      </rPr>
      <t>(*)</t>
    </r>
    <r>
      <rPr>
        <b/>
        <sz val="9"/>
        <color theme="1"/>
        <rFont val="Arial Narrow"/>
        <family val="2"/>
      </rPr>
      <t>الأغذية والمشروبات</t>
    </r>
  </si>
  <si>
    <r>
      <t>Housing utilities and equipment</t>
    </r>
    <r>
      <rPr>
        <b/>
        <vertAlign val="superscript"/>
        <sz val="9"/>
        <color theme="1"/>
        <rFont val="Arial Narrow"/>
        <family val="2"/>
      </rPr>
      <t>(**)</t>
    </r>
    <r>
      <rPr>
        <b/>
        <sz val="9"/>
        <color theme="1"/>
        <rFont val="Arial Narrow"/>
        <family val="2"/>
      </rPr>
      <t xml:space="preserve"> </t>
    </r>
    <r>
      <rPr>
        <b/>
        <vertAlign val="superscript"/>
        <sz val="9"/>
        <color theme="1"/>
        <rFont val="Arial Narrow"/>
        <family val="2"/>
      </rPr>
      <t>(**)</t>
    </r>
    <r>
      <rPr>
        <b/>
        <sz val="9"/>
        <color theme="1"/>
        <rFont val="Arial Narrow"/>
        <family val="2"/>
      </rPr>
      <t>المساكن والتجهيزات والخدمات المنزلية</t>
    </r>
  </si>
  <si>
    <t>(*) "الأغذية والمشروبات" تضم المجموعة "التبغ والكحول" أو فقط "التبغ".</t>
  </si>
  <si>
    <t xml:space="preserve">(**) 'المساكن والتجهيزات والخدمات المنزلية' تضم المجموعة 'الكهرباء والغاز والمفروشات والادوات المنزلية'.
</t>
  </si>
  <si>
    <t>(*) The 'Food and beverages' group includes 'tobacco and alcohol' or only 'tobacco'.</t>
  </si>
  <si>
    <t>(**) The 'Housing utilities and equipment' group includes 'electricity, gas, furnishings and household equipment'.</t>
  </si>
  <si>
    <t xml:space="preserve"> الائتمان المصرفي حسب النشاط الاقتصادي </t>
  </si>
  <si>
    <t xml:space="preserve"> المصدر:  المكاتب الوطنية للإحصاء و وزارات المالية</t>
  </si>
  <si>
    <t>Source:National statistical offices and Ministries of Finance</t>
  </si>
  <si>
    <t xml:space="preserve"> (*) المصدر المصرف المركزي الوطني أو سلطة النقد</t>
  </si>
  <si>
    <t>(*)Source Central Bank or National Monetary Authority.</t>
  </si>
  <si>
    <t>Libya</t>
  </si>
  <si>
    <t>Dinar(million)</t>
  </si>
  <si>
    <t>ليبيا</t>
  </si>
  <si>
    <t>Morocco</t>
  </si>
  <si>
    <t>Dirham(million)</t>
  </si>
  <si>
    <t>مغرب</t>
  </si>
  <si>
    <t>Tunisia</t>
  </si>
  <si>
    <t>تونس</t>
  </si>
  <si>
    <r>
      <t xml:space="preserve">     - Individual and corporate</t>
    </r>
    <r>
      <rPr>
        <vertAlign val="superscript"/>
        <sz val="8"/>
        <rFont val="Arial Narrow"/>
        <family val="2"/>
      </rPr>
      <t>(1)</t>
    </r>
  </si>
  <si>
    <r>
      <t xml:space="preserve">     - الضرائب على الدخل والأرباح</t>
    </r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</t>
    </r>
  </si>
  <si>
    <r>
      <t>B. Capital expenditure</t>
    </r>
    <r>
      <rPr>
        <vertAlign val="superscript"/>
        <sz val="8"/>
        <rFont val="Arial Narrow"/>
        <family val="2"/>
      </rPr>
      <t xml:space="preserve"> (1)</t>
    </r>
  </si>
  <si>
    <r>
      <t xml:space="preserve">ب. النفقات الرأسمالية </t>
    </r>
    <r>
      <rPr>
        <vertAlign val="superscript"/>
        <sz val="8"/>
        <rFont val="Arial Narrow"/>
        <family val="2"/>
      </rPr>
      <t>(1)</t>
    </r>
  </si>
  <si>
    <t>Dinar(Million)</t>
  </si>
  <si>
    <t>Dollars (million)</t>
  </si>
  <si>
    <t>Tunsia</t>
  </si>
  <si>
    <t>Derham (million)</t>
  </si>
  <si>
    <t xml:space="preserve">299,173 
</t>
  </si>
  <si>
    <t>B-Capital Account (1)</t>
  </si>
  <si>
    <t xml:space="preserve">    ليبيا</t>
  </si>
  <si>
    <t xml:space="preserve">    مغرب</t>
  </si>
  <si>
    <t>2 376</t>
  </si>
  <si>
    <t>2 852</t>
  </si>
  <si>
    <t>1 497</t>
  </si>
  <si>
    <t>1 798</t>
  </si>
  <si>
    <t>2 329</t>
  </si>
  <si>
    <t>2 833</t>
  </si>
  <si>
    <t>3 674</t>
  </si>
  <si>
    <t>1 626</t>
  </si>
  <si>
    <t>9 298</t>
  </si>
  <si>
    <t>10 488</t>
  </si>
  <si>
    <t>6 881</t>
  </si>
  <si>
    <t>5 553</t>
  </si>
  <si>
    <t>1 425</t>
  </si>
  <si>
    <t>2 728</t>
  </si>
  <si>
    <t>3 358</t>
  </si>
  <si>
    <t>3 094</t>
  </si>
  <si>
    <t>1 603</t>
  </si>
  <si>
    <t>1 096</t>
  </si>
  <si>
    <t>1 451 965</t>
  </si>
  <si>
    <t>565 626</t>
  </si>
  <si>
    <t>25 464 173</t>
  </si>
  <si>
    <t>16 053 149</t>
  </si>
  <si>
    <t>8 483 009</t>
  </si>
  <si>
    <t>85 046</t>
  </si>
  <si>
    <t>18 461</t>
  </si>
  <si>
    <t>50 280</t>
  </si>
  <si>
    <t>29 148</t>
  </si>
  <si>
    <t>33 557</t>
  </si>
  <si>
    <t>17 815</t>
  </si>
  <si>
    <t>15 295</t>
  </si>
  <si>
    <t>26 668</t>
  </si>
  <si>
    <t>21 242</t>
  </si>
  <si>
    <t>55 604</t>
  </si>
  <si>
    <t>19 756</t>
  </si>
  <si>
    <t>29 964</t>
  </si>
  <si>
    <t>208 330</t>
  </si>
  <si>
    <t>2 750</t>
  </si>
  <si>
    <t>10 743</t>
  </si>
  <si>
    <t>105 496</t>
  </si>
  <si>
    <t>3 675</t>
  </si>
  <si>
    <t>معدلات التضخم حسب المجموعات الرئيسية للنشاط الاقتصادي لعام 2013</t>
  </si>
  <si>
    <t>Inflation rates by main groups of economic activity for 2013</t>
  </si>
  <si>
    <t>الرقم القياسي لأسعار استهلاك المواد الغذائية (سنة أساس 2007)</t>
  </si>
  <si>
    <t xml:space="preserve">Consumer price indices for food (base year 2007) </t>
  </si>
  <si>
    <t xml:space="preserve">الرقم القياسي العام لأسعار الاستهلاك (سنة أساس 2007) </t>
  </si>
  <si>
    <t xml:space="preserve">General consumer price indices (base year 2007)  </t>
  </si>
  <si>
    <t>Culture and entertainment  الثقافة والترفيه</t>
  </si>
  <si>
    <t>Education التعليم</t>
  </si>
  <si>
    <t>Restaurants and hotels المطاعم و الفنادق</t>
  </si>
  <si>
    <t>(*) Based on the private final consumption expenditure in 2007.</t>
  </si>
  <si>
    <t>(*) مبنية على أساس الانفاق الاستهلاكي النهائي الخاص لعام 2007.</t>
  </si>
  <si>
    <t>Developing and transition economies</t>
  </si>
  <si>
    <t>الاقتصادات النامية و الاقتصادات الانتقالية</t>
  </si>
  <si>
    <t>E- Change in Reserves</t>
  </si>
  <si>
    <t>Overall balance (A+B+C+D+E)</t>
  </si>
  <si>
    <t>الميزان الإجمالي (أ+ب+ج+د+ه)</t>
  </si>
  <si>
    <t>ه- التغير في الاحتياط</t>
  </si>
  <si>
    <t xml:space="preserve">                     </t>
  </si>
  <si>
    <r>
      <t>Egypt</t>
    </r>
    <r>
      <rPr>
        <b/>
        <vertAlign val="superscript"/>
        <sz val="8"/>
        <rFont val="Arial Narrow"/>
        <family val="2"/>
      </rPr>
      <t>(2)</t>
    </r>
  </si>
  <si>
    <r>
      <t>مصر</t>
    </r>
    <r>
      <rPr>
        <b/>
        <vertAlign val="superscript"/>
        <sz val="8"/>
        <rFont val="Arial Narrow"/>
        <family val="2"/>
      </rPr>
      <t>(2)</t>
    </r>
  </si>
  <si>
    <r>
      <t xml:space="preserve">الأردن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</si>
  <si>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Kuwait </t>
    </r>
    <r>
      <rPr>
        <b/>
        <vertAlign val="superscript"/>
        <sz val="8"/>
        <rFont val="Arial Narrow"/>
        <family val="2"/>
      </rPr>
      <t>(2)</t>
    </r>
  </si>
  <si>
    <r>
      <t>الكويت</t>
    </r>
    <r>
      <rPr>
        <b/>
        <vertAlign val="superscript"/>
        <sz val="8"/>
        <rFont val="Arial Narrow"/>
        <family val="2"/>
      </rPr>
      <t>(2)</t>
    </r>
  </si>
  <si>
    <r>
      <t>Oman</t>
    </r>
    <r>
      <rPr>
        <b/>
        <vertAlign val="superscript"/>
        <sz val="8"/>
        <rFont val="Arial Narrow"/>
        <family val="2"/>
      </rPr>
      <t>(*)</t>
    </r>
  </si>
  <si>
    <r>
      <t>عُمان</t>
    </r>
    <r>
      <rPr>
        <b/>
        <vertAlign val="superscript"/>
        <sz val="8"/>
        <rFont val="Arial Narrow"/>
        <family val="2"/>
      </rPr>
      <t>(*)</t>
    </r>
  </si>
  <si>
    <r>
      <t xml:space="preserve">  United Arab Emirates 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</si>
  <si>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     - الضرائب على الدخل والأرباح</t>
    </r>
    <r>
      <rPr>
        <vertAlign val="superscript"/>
        <sz val="8"/>
        <rFont val="Arial Narrow"/>
        <family val="2"/>
      </rPr>
      <t>(</t>
    </r>
  </si>
  <si>
    <r>
      <rPr>
        <vertAlign val="superscript"/>
        <sz val="7"/>
        <rFont val="Arial Narrow"/>
        <family val="2"/>
      </rPr>
      <t>(1)</t>
    </r>
    <r>
      <rPr>
        <sz val="7"/>
        <rFont val="Arial Narrow"/>
        <family val="2"/>
      </rPr>
      <t xml:space="preserve"> Includes taxes on goods and services</t>
    </r>
  </si>
  <si>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تشمل  الضرائب على السلع والخدمات</t>
    </r>
  </si>
  <si>
    <r>
      <rPr>
        <vertAlign val="superscript"/>
        <sz val="7"/>
        <rFont val="Arial Narrow"/>
        <family val="2"/>
      </rPr>
      <t>(2)</t>
    </r>
    <r>
      <rPr>
        <sz val="7"/>
        <rFont val="Arial Narrow"/>
        <family val="2"/>
      </rPr>
      <t xml:space="preserve"> Fiscal year starting the column year</t>
    </r>
  </si>
  <si>
    <r>
      <rPr>
        <vertAlign val="superscript"/>
        <sz val="7"/>
        <rFont val="Arial"/>
        <family val="2"/>
      </rPr>
      <t>(2)</t>
    </r>
    <r>
      <rPr>
        <sz val="7"/>
        <rFont val="Arial"/>
        <family val="2"/>
      </rPr>
      <t xml:space="preserve"> السنة المالية التي تبدأ في السنة العمود</t>
    </r>
  </si>
  <si>
    <r>
      <t>الكويت</t>
    </r>
    <r>
      <rPr>
        <b/>
        <vertAlign val="superscript"/>
        <sz val="8"/>
        <rFont val="Arial Narrow"/>
        <family val="2"/>
      </rPr>
      <t xml:space="preserve"> (2)</t>
    </r>
  </si>
  <si>
    <r>
      <t xml:space="preserve">United Arab Emirates  </t>
    </r>
    <r>
      <rPr>
        <b/>
        <vertAlign val="superscript"/>
        <sz val="8"/>
        <rFont val="Arial Narrow"/>
        <family val="2"/>
      </rPr>
      <t xml:space="preserve"> </t>
    </r>
  </si>
  <si>
    <r>
      <rPr>
        <vertAlign val="superscript"/>
        <sz val="7"/>
        <rFont val="Arial Narrow"/>
        <family val="2"/>
      </rPr>
      <t>(1)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>Includes other expenditures</t>
    </r>
  </si>
  <si>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تشمل النفقات الأخرى</t>
    </r>
  </si>
  <si>
    <r>
      <t xml:space="preserve">البحرين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</si>
  <si>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مصر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</si>
  <si>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الكويت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</si>
  <si>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Palestine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</si>
  <si>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فلسطين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</si>
  <si>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Qatar 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</si>
  <si>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قطر </t>
    </r>
    <r>
      <rPr>
        <b/>
        <vertAlign val="superscript"/>
        <sz val="8"/>
        <rFont val="Arial Narrow"/>
        <family val="2"/>
      </rPr>
      <t xml:space="preserve"> </t>
    </r>
  </si>
  <si>
    <r>
      <t xml:space="preserve">Bahrain </t>
    </r>
    <r>
      <rPr>
        <b/>
        <vertAlign val="superscript"/>
        <sz val="8"/>
        <rFont val="Arial Narrow"/>
        <family val="2"/>
      </rPr>
      <t xml:space="preserve"> </t>
    </r>
  </si>
  <si>
    <r>
      <t>Mining, manufacturing and utilities</t>
    </r>
    <r>
      <rPr>
        <vertAlign val="superscript"/>
        <sz val="8"/>
        <rFont val="Arial Narrow"/>
        <family val="2"/>
      </rPr>
      <t>(1)</t>
    </r>
  </si>
  <si>
    <r>
      <t>التعدين والمحاجر</t>
    </r>
    <r>
      <rPr>
        <vertAlign val="superscript"/>
        <sz val="8"/>
        <rFont val="Arial Narrow"/>
        <family val="2"/>
      </rPr>
      <t>(1)</t>
    </r>
  </si>
  <si>
    <r>
      <t xml:space="preserve">الجمهورية العربية السورية </t>
    </r>
    <r>
      <rPr>
        <b/>
        <vertAlign val="superscript"/>
        <sz val="8"/>
        <rFont val="Arial Narrow"/>
        <family val="2"/>
      </rPr>
      <t xml:space="preserve"> </t>
    </r>
  </si>
  <si>
    <r>
      <rPr>
        <vertAlign val="superscript"/>
        <sz val="7"/>
        <rFont val="Arial Narrow"/>
        <family val="2"/>
      </rPr>
      <t>(1)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>Includes building and construction</t>
    </r>
  </si>
  <si>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تشمل الإنشاء والتعمير</t>
    </r>
  </si>
  <si>
    <r>
      <t xml:space="preserve">B-Capital Account </t>
    </r>
    <r>
      <rPr>
        <vertAlign val="superscript"/>
        <sz val="8"/>
        <rFont val="Arial Narrow"/>
        <family val="2"/>
      </rPr>
      <t>(1)</t>
    </r>
  </si>
  <si>
    <r>
      <t>ب- الحساب  الرأسمالي (صافي)</t>
    </r>
    <r>
      <rPr>
        <vertAlign val="superscript"/>
        <sz val="8"/>
        <rFont val="Arial Narrow"/>
        <family val="2"/>
      </rPr>
      <t>(1)</t>
    </r>
  </si>
  <si>
    <r>
      <t>B-Capital Account</t>
    </r>
    <r>
      <rPr>
        <vertAlign val="superscript"/>
        <sz val="8"/>
        <rFont val="Arial Narrow"/>
        <family val="2"/>
      </rPr>
      <t>(1)</t>
    </r>
  </si>
  <si>
    <r>
      <t>ج- الحساب المالي (صافي)</t>
    </r>
    <r>
      <rPr>
        <vertAlign val="superscript"/>
        <sz val="8"/>
        <rFont val="Arial Narrow"/>
        <family val="2"/>
      </rPr>
      <t xml:space="preserve"> (1)</t>
    </r>
  </si>
  <si>
    <r>
      <rPr>
        <vertAlign val="superscript"/>
        <sz val="7"/>
        <rFont val="Arial Narrow"/>
        <family val="2"/>
      </rPr>
      <t>(1)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>Includes financial accounts (net)</t>
    </r>
  </si>
  <si>
    <r>
      <rPr>
        <vertAlign val="superscript"/>
        <sz val="7"/>
        <rFont val="Arial"/>
        <family val="2"/>
      </rPr>
      <t>(1)</t>
    </r>
    <r>
      <rPr>
        <sz val="7"/>
        <rFont val="Arial"/>
        <family val="2"/>
      </rPr>
      <t xml:space="preserve"> تشمل  الحساب المالي (صافي) </t>
    </r>
  </si>
  <si>
    <r>
      <t>الاستثمارالأجنبي المباشر الوارد وأرصدته</t>
    </r>
    <r>
      <rPr>
        <b/>
        <vertAlign val="superscript"/>
        <sz val="12"/>
        <rFont val="Arial"/>
        <family val="2"/>
      </rPr>
      <t>(*)</t>
    </r>
  </si>
  <si>
    <r>
      <t>FDI inflows and inward stocks</t>
    </r>
    <r>
      <rPr>
        <b/>
        <vertAlign val="superscript"/>
        <sz val="10"/>
        <rFont val="Arial Narrow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</si>
</sst>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&quot;   NA ??    &quot;;&quot;   NA ??     &quot;;&quot;...  &quot;;&quot;   NA ??  &quot;"/>
    <numFmt numFmtId="165" formatCode="#,##0.0"/>
    <numFmt numFmtId="166" formatCode="0.0"/>
    <numFmt numFmtId="167" formatCode="0.000"/>
    <numFmt numFmtId="168" formatCode="#\ ###\ ###\ ###"/>
    <numFmt numFmtId="169" formatCode="\-"/>
    <numFmt numFmtId="170" formatCode="0.0%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abic Transparent"/>
      <charset val="178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abic Transparent"/>
      <charset val="178"/>
    </font>
    <font>
      <b/>
      <sz val="10"/>
      <color indexed="8"/>
      <name val="Arabic Transparent"/>
      <charset val="17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  <charset val="178"/>
    </font>
    <font>
      <b/>
      <sz val="11"/>
      <name val="Arial (Arabic)"/>
      <family val="2"/>
      <charset val="178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abic Transparent"/>
      <charset val="178"/>
    </font>
    <font>
      <sz val="7"/>
      <name val="Arial"/>
      <family val="2"/>
    </font>
    <font>
      <sz val="7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Symbol"/>
      <family val="1"/>
      <charset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theme="5" tint="-0.249977111117893"/>
      <name val="Arial Narrow"/>
      <family val="2"/>
    </font>
    <font>
      <b/>
      <sz val="8"/>
      <color theme="5" tint="-0.499984740745262"/>
      <name val="Arial Narrow"/>
      <family val="2"/>
    </font>
    <font>
      <b/>
      <sz val="8"/>
      <color theme="5"/>
      <name val="Arial Narrow"/>
      <family val="2"/>
    </font>
    <font>
      <sz val="8"/>
      <color theme="5"/>
      <name val="Arial Narrow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8"/>
      <color rgb="FFC00000"/>
      <name val="Arial Narrow"/>
      <family val="2"/>
    </font>
    <font>
      <b/>
      <sz val="8"/>
      <color rgb="FFC00000"/>
      <name val="Arial Narrow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sz val="8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1"/>
      <color theme="4"/>
      <name val="Arial Narrow"/>
      <family val="2"/>
    </font>
    <font>
      <b/>
      <sz val="8"/>
      <color theme="4"/>
      <name val="Arial Narrow"/>
      <family val="2"/>
    </font>
    <font>
      <sz val="8"/>
      <color theme="3" tint="0.39997558519241921"/>
      <name val="Arial Narrow"/>
      <family val="2"/>
    </font>
    <font>
      <b/>
      <sz val="8"/>
      <color theme="3" tint="0.39997558519241921"/>
      <name val="Arial Narrow"/>
      <family val="2"/>
    </font>
    <font>
      <b/>
      <sz val="12"/>
      <color theme="3" tint="0.39997558519241921"/>
      <name val="Arial Narrow"/>
      <family val="2"/>
    </font>
    <font>
      <b/>
      <sz val="11"/>
      <color theme="3" tint="0.39997558519241921"/>
      <name val="Calibri"/>
      <family val="2"/>
      <scheme val="minor"/>
    </font>
    <font>
      <b/>
      <sz val="10"/>
      <color rgb="FFFFFF00"/>
      <name val="Arial Narrow"/>
      <family val="2"/>
    </font>
    <font>
      <b/>
      <sz val="11"/>
      <color theme="6" tint="-0.499984740745262"/>
      <name val="Arial Narrow"/>
      <family val="2"/>
    </font>
    <font>
      <b/>
      <sz val="9"/>
      <color theme="1"/>
      <name val="Arial Narrow"/>
      <family val="2"/>
    </font>
    <font>
      <b/>
      <sz val="12"/>
      <color indexed="8"/>
      <name val="Arial"/>
      <family val="2"/>
    </font>
    <font>
      <b/>
      <vertAlign val="superscript"/>
      <sz val="9"/>
      <color theme="1"/>
      <name val="Arial Narrow"/>
      <family val="2"/>
    </font>
    <font>
      <u/>
      <sz val="10"/>
      <color theme="10"/>
      <name val="Arial"/>
      <family val="2"/>
    </font>
    <font>
      <vertAlign val="superscript"/>
      <sz val="8"/>
      <name val="Arial Narrow"/>
      <family val="2"/>
    </font>
    <font>
      <sz val="10"/>
      <name val="Times New Roman"/>
      <family val="1"/>
    </font>
    <font>
      <sz val="8"/>
      <color rgb="FF00327D"/>
      <name val="Times New Roman"/>
      <family val="1"/>
    </font>
    <font>
      <sz val="8"/>
      <color rgb="FF00327D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rgb="FFFF0000"/>
      <name val="Arial Narrow"/>
      <family val="2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9"/>
      <color indexed="81"/>
      <name val="Tahoma"/>
    </font>
    <font>
      <b/>
      <i/>
      <sz val="8"/>
      <name val="Arial Narrow"/>
      <family val="2"/>
    </font>
    <font>
      <vertAlign val="superscript"/>
      <sz val="7"/>
      <name val="Arial Narrow"/>
      <family val="2"/>
    </font>
    <font>
      <vertAlign val="superscript"/>
      <sz val="7"/>
      <name val="Arial"/>
      <family val="2"/>
    </font>
    <font>
      <i/>
      <sz val="8"/>
      <name val="Arial Narrow"/>
      <family val="2"/>
    </font>
    <font>
      <sz val="10"/>
      <name val="Arabic Transparent"/>
      <charset val="178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Arial Narrow"/>
      <family val="2"/>
    </font>
    <font>
      <sz val="7"/>
      <name val="Times New Roman"/>
      <family val="1"/>
    </font>
    <font>
      <sz val="7"/>
      <name val="Arabic Transparent"/>
      <charset val="178"/>
    </font>
    <font>
      <b/>
      <sz val="10"/>
      <name val="Arabic Transparent"/>
      <charset val="178"/>
    </font>
    <font>
      <b/>
      <vertAlign val="superscript"/>
      <sz val="12"/>
      <name val="Arial"/>
      <family val="2"/>
    </font>
    <font>
      <b/>
      <vertAlign val="superscript"/>
      <sz val="10"/>
      <name val="Arial Narrow"/>
      <family val="2"/>
    </font>
    <font>
      <sz val="7.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F4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E0E4ED"/>
      </left>
      <right style="thick">
        <color rgb="FF000000"/>
      </right>
      <top style="thick">
        <color rgb="FFE0E4ED"/>
      </top>
      <bottom/>
      <diagonal/>
    </border>
    <border>
      <left style="thick">
        <color rgb="FF000000"/>
      </left>
      <right style="thick">
        <color rgb="FF000000"/>
      </right>
      <top style="thick">
        <color rgb="FFE0E4ED"/>
      </top>
      <bottom/>
      <diagonal/>
    </border>
    <border>
      <left style="thick">
        <color rgb="FF000000"/>
      </left>
      <right style="thick">
        <color rgb="FFE0E4ED"/>
      </right>
      <top style="thick">
        <color rgb="FFE0E4ED"/>
      </top>
      <bottom/>
      <diagonal/>
    </border>
    <border>
      <left style="thick">
        <color rgb="FFE0E4ED"/>
      </left>
      <right style="thick">
        <color rgb="FF000000"/>
      </right>
      <top/>
      <bottom style="thick">
        <color rgb="FFE0E4ED"/>
      </bottom>
      <diagonal/>
    </border>
    <border>
      <left style="thick">
        <color rgb="FF000000"/>
      </left>
      <right style="thick">
        <color rgb="FF000000"/>
      </right>
      <top/>
      <bottom style="thick">
        <color rgb="FFE0E4ED"/>
      </bottom>
      <diagonal/>
    </border>
    <border>
      <left style="thick">
        <color rgb="FF000000"/>
      </left>
      <right style="thick">
        <color rgb="FFE0E4ED"/>
      </right>
      <top/>
      <bottom style="thick">
        <color rgb="FFE0E4ED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6" fillId="0" borderId="0"/>
    <xf numFmtId="0" fontId="17" fillId="0" borderId="0"/>
    <xf numFmtId="9" fontId="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</cellStyleXfs>
  <cellXfs count="335">
    <xf numFmtId="0" fontId="0" fillId="0" borderId="0" xfId="0"/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 readingOrder="2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 readingOrder="2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readingOrder="2"/>
    </xf>
    <xf numFmtId="0" fontId="15" fillId="0" borderId="0" xfId="0" applyFont="1" applyAlignment="1">
      <alignment horizontal="right"/>
    </xf>
    <xf numFmtId="3" fontId="11" fillId="0" borderId="0" xfId="0" applyNumberFormat="1" applyFont="1" applyBorder="1"/>
    <xf numFmtId="0" fontId="11" fillId="0" borderId="0" xfId="0" applyFont="1" applyBorder="1" applyAlignment="1">
      <alignment horizontal="right" vertical="center" readingOrder="2"/>
    </xf>
    <xf numFmtId="0" fontId="12" fillId="0" borderId="0" xfId="0" applyFont="1" applyBorder="1"/>
    <xf numFmtId="0" fontId="11" fillId="2" borderId="0" xfId="0" applyFont="1" applyFill="1" applyBorder="1"/>
    <xf numFmtId="3" fontId="11" fillId="0" borderId="0" xfId="0" applyNumberFormat="1" applyFont="1" applyBorder="1" applyAlignment="1">
      <alignment horizontal="right" readingOrder="2"/>
    </xf>
    <xf numFmtId="49" fontId="11" fillId="0" borderId="0" xfId="0" applyNumberFormat="1" applyFont="1" applyBorder="1"/>
    <xf numFmtId="3" fontId="11" fillId="2" borderId="0" xfId="0" applyNumberFormat="1" applyFont="1" applyFill="1" applyBorder="1"/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67" fontId="19" fillId="3" borderId="0" xfId="0" applyNumberFormat="1" applyFont="1" applyFill="1" applyAlignment="1">
      <alignment horizontal="right" vertical="center" wrapText="1"/>
    </xf>
    <xf numFmtId="49" fontId="20" fillId="3" borderId="0" xfId="0" quotePrefix="1" applyNumberFormat="1" applyFont="1" applyFill="1" applyBorder="1" applyAlignment="1">
      <alignment horizontal="right" vertical="center" wrapText="1" readingOrder="2"/>
    </xf>
    <xf numFmtId="1" fontId="19" fillId="3" borderId="0" xfId="0" applyNumberFormat="1" applyFont="1" applyFill="1" applyAlignment="1">
      <alignment horizontal="right" vertical="center" wrapText="1"/>
    </xf>
    <xf numFmtId="49" fontId="20" fillId="3" borderId="0" xfId="0" applyNumberFormat="1" applyFont="1" applyFill="1" applyBorder="1" applyAlignment="1">
      <alignment horizontal="right" vertical="center" wrapText="1" readingOrder="2"/>
    </xf>
    <xf numFmtId="2" fontId="19" fillId="3" borderId="0" xfId="0" applyNumberFormat="1" applyFont="1" applyFill="1" applyAlignment="1">
      <alignment horizontal="right" vertical="center" wrapText="1"/>
    </xf>
    <xf numFmtId="166" fontId="19" fillId="3" borderId="0" xfId="0" applyNumberFormat="1" applyFont="1" applyFill="1" applyAlignment="1">
      <alignment horizontal="right" vertical="center" wrapText="1"/>
    </xf>
    <xf numFmtId="0" fontId="11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23" fillId="0" borderId="0" xfId="0" applyFont="1"/>
    <xf numFmtId="166" fontId="25" fillId="0" borderId="0" xfId="0" applyNumberFormat="1" applyFont="1"/>
    <xf numFmtId="0" fontId="26" fillId="0" borderId="0" xfId="0" applyFont="1"/>
    <xf numFmtId="0" fontId="27" fillId="0" borderId="0" xfId="0" applyFont="1" applyAlignment="1"/>
    <xf numFmtId="0" fontId="28" fillId="0" borderId="0" xfId="0" applyFont="1"/>
    <xf numFmtId="0" fontId="12" fillId="0" borderId="0" xfId="0" applyFont="1" applyAlignment="1">
      <alignment horizontal="right" vertical="top" readingOrder="2"/>
    </xf>
    <xf numFmtId="0" fontId="12" fillId="0" borderId="0" xfId="0" applyFont="1" applyAlignment="1">
      <alignment horizontal="right" vertical="top" readingOrder="1"/>
    </xf>
    <xf numFmtId="166" fontId="25" fillId="0" borderId="0" xfId="0" applyNumberFormat="1" applyFont="1" applyAlignment="1">
      <alignment horizontal="right"/>
    </xf>
    <xf numFmtId="168" fontId="25" fillId="0" borderId="0" xfId="0" applyNumberFormat="1" applyFont="1" applyBorder="1" applyAlignment="1">
      <alignment horizontal="right"/>
    </xf>
    <xf numFmtId="0" fontId="11" fillId="0" borderId="5" xfId="0" applyFont="1" applyBorder="1"/>
    <xf numFmtId="0" fontId="11" fillId="0" borderId="0" xfId="0" applyNumberFormat="1" applyFont="1" applyBorder="1"/>
    <xf numFmtId="0" fontId="37" fillId="4" borderId="0" xfId="0" applyFont="1" applyFill="1" applyBorder="1"/>
    <xf numFmtId="0" fontId="37" fillId="0" borderId="0" xfId="0" applyFont="1" applyBorder="1"/>
    <xf numFmtId="1" fontId="11" fillId="0" borderId="0" xfId="0" applyNumberFormat="1" applyFont="1" applyBorder="1"/>
    <xf numFmtId="0" fontId="11" fillId="5" borderId="0" xfId="0" applyFont="1" applyFill="1" applyBorder="1"/>
    <xf numFmtId="49" fontId="10" fillId="5" borderId="0" xfId="0" applyNumberFormat="1" applyFont="1" applyFill="1" applyBorder="1" applyAlignment="1">
      <alignment horizontal="left"/>
    </xf>
    <xf numFmtId="0" fontId="37" fillId="2" borderId="0" xfId="0" applyFont="1" applyFill="1" applyBorder="1"/>
    <xf numFmtId="0" fontId="25" fillId="5" borderId="0" xfId="0" applyFont="1" applyFill="1" applyBorder="1"/>
    <xf numFmtId="0" fontId="38" fillId="2" borderId="0" xfId="0" applyFont="1" applyFill="1" applyBorder="1"/>
    <xf numFmtId="0" fontId="39" fillId="2" borderId="0" xfId="0" applyFont="1" applyFill="1" applyBorder="1"/>
    <xf numFmtId="0" fontId="40" fillId="5" borderId="0" xfId="0" applyFont="1" applyFill="1" applyBorder="1"/>
    <xf numFmtId="168" fontId="40" fillId="5" borderId="0" xfId="0" applyNumberFormat="1" applyFont="1" applyFill="1" applyBorder="1" applyAlignment="1">
      <alignment horizontal="right"/>
    </xf>
    <xf numFmtId="0" fontId="41" fillId="0" borderId="0" xfId="0" applyFont="1" applyBorder="1"/>
    <xf numFmtId="0" fontId="37" fillId="2" borderId="0" xfId="0" applyFont="1" applyFill="1" applyBorder="1" applyAlignment="1">
      <alignment horizontal="left"/>
    </xf>
    <xf numFmtId="0" fontId="43" fillId="0" borderId="0" xfId="0" applyFont="1" applyBorder="1"/>
    <xf numFmtId="0" fontId="44" fillId="0" borderId="0" xfId="0" applyFont="1"/>
    <xf numFmtId="0" fontId="42" fillId="0" borderId="0" xfId="0" applyFont="1" applyBorder="1"/>
    <xf numFmtId="0" fontId="45" fillId="0" borderId="0" xfId="0" applyFont="1"/>
    <xf numFmtId="0" fontId="38" fillId="2" borderId="0" xfId="0" applyFont="1" applyFill="1" applyBorder="1" applyAlignment="1">
      <alignment horizontal="left"/>
    </xf>
    <xf numFmtId="0" fontId="11" fillId="6" borderId="0" xfId="0" applyFont="1" applyFill="1" applyBorder="1"/>
    <xf numFmtId="0" fontId="39" fillId="6" borderId="0" xfId="0" applyFont="1" applyFill="1" applyBorder="1"/>
    <xf numFmtId="0" fontId="39" fillId="0" borderId="0" xfId="0" applyFont="1" applyBorder="1"/>
    <xf numFmtId="0" fontId="39" fillId="5" borderId="0" xfId="0" applyFont="1" applyFill="1" applyBorder="1"/>
    <xf numFmtId="3" fontId="46" fillId="5" borderId="0" xfId="0" applyNumberFormat="1" applyFont="1" applyFill="1" applyBorder="1"/>
    <xf numFmtId="0" fontId="46" fillId="0" borderId="0" xfId="0" applyFont="1" applyBorder="1"/>
    <xf numFmtId="0" fontId="47" fillId="5" borderId="0" xfId="0" applyFont="1" applyFill="1" applyBorder="1"/>
    <xf numFmtId="0" fontId="17" fillId="0" borderId="0" xfId="0" applyFont="1"/>
    <xf numFmtId="0" fontId="49" fillId="0" borderId="0" xfId="0" applyFont="1"/>
    <xf numFmtId="4" fontId="34" fillId="5" borderId="0" xfId="1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Border="1" applyAlignment="1">
      <alignment horizontal="right" wrapText="1"/>
    </xf>
    <xf numFmtId="0" fontId="47" fillId="0" borderId="0" xfId="0" applyFont="1" applyBorder="1"/>
    <xf numFmtId="0" fontId="50" fillId="2" borderId="0" xfId="0" applyFont="1" applyFill="1" applyBorder="1"/>
    <xf numFmtId="0" fontId="0" fillId="0" borderId="0" xfId="0" applyBorder="1"/>
    <xf numFmtId="168" fontId="25" fillId="0" borderId="0" xfId="0" applyNumberFormat="1" applyFont="1" applyFill="1" applyBorder="1" applyAlignment="1">
      <alignment horizontal="right"/>
    </xf>
    <xf numFmtId="168" fontId="25" fillId="0" borderId="4" xfId="0" applyNumberFormat="1" applyFont="1" applyFill="1" applyBorder="1" applyAlignment="1">
      <alignment horizontal="right"/>
    </xf>
    <xf numFmtId="168" fontId="11" fillId="0" borderId="0" xfId="0" applyNumberFormat="1" applyFont="1" applyBorder="1"/>
    <xf numFmtId="0" fontId="11" fillId="7" borderId="0" xfId="0" applyFont="1" applyFill="1" applyBorder="1"/>
    <xf numFmtId="0" fontId="37" fillId="7" borderId="0" xfId="0" applyFont="1" applyFill="1" applyBorder="1"/>
    <xf numFmtId="0" fontId="47" fillId="7" borderId="0" xfId="0" applyFont="1" applyFill="1" applyBorder="1"/>
    <xf numFmtId="0" fontId="35" fillId="0" borderId="0" xfId="0" applyFont="1" applyBorder="1"/>
    <xf numFmtId="0" fontId="51" fillId="0" borderId="0" xfId="0" applyFont="1" applyBorder="1"/>
    <xf numFmtId="0" fontId="52" fillId="2" borderId="0" xfId="0" applyFont="1" applyFill="1" applyBorder="1"/>
    <xf numFmtId="0" fontId="53" fillId="2" borderId="0" xfId="0" applyFont="1" applyFill="1" applyBorder="1"/>
    <xf numFmtId="0" fontId="54" fillId="2" borderId="0" xfId="0" applyFont="1" applyFill="1" applyBorder="1"/>
    <xf numFmtId="0" fontId="55" fillId="2" borderId="0" xfId="0" applyFont="1" applyFill="1" applyBorder="1"/>
    <xf numFmtId="0" fontId="56" fillId="2" borderId="0" xfId="0" applyFont="1" applyFill="1" applyBorder="1"/>
    <xf numFmtId="0" fontId="57" fillId="0" borderId="0" xfId="0" applyFont="1" applyBorder="1"/>
    <xf numFmtId="0" fontId="58" fillId="0" borderId="0" xfId="0" applyFont="1" applyBorder="1"/>
    <xf numFmtId="0" fontId="59" fillId="2" borderId="0" xfId="0" applyFont="1" applyFill="1" applyBorder="1"/>
    <xf numFmtId="0" fontId="61" fillId="2" borderId="0" xfId="0" applyFont="1" applyFill="1" applyBorder="1"/>
    <xf numFmtId="0" fontId="53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left"/>
    </xf>
    <xf numFmtId="0" fontId="9" fillId="0" borderId="0" xfId="0" applyFont="1" applyBorder="1"/>
    <xf numFmtId="166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/>
    <xf numFmtId="166" fontId="25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 vertical="center" readingOrder="2"/>
    </xf>
    <xf numFmtId="166" fontId="63" fillId="0" borderId="7" xfId="0" applyNumberFormat="1" applyFont="1" applyBorder="1" applyAlignment="1">
      <alignment horizontal="center" vertical="center" wrapText="1"/>
    </xf>
    <xf numFmtId="166" fontId="63" fillId="0" borderId="7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right" vertical="center"/>
    </xf>
    <xf numFmtId="49" fontId="20" fillId="3" borderId="0" xfId="0" quotePrefix="1" applyNumberFormat="1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readingOrder="2"/>
    </xf>
    <xf numFmtId="0" fontId="26" fillId="0" borderId="0" xfId="0" applyFont="1" applyAlignment="1">
      <alignment horizontal="right" readingOrder="2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168" fontId="25" fillId="0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62" fillId="2" borderId="0" xfId="0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wrapText="1"/>
    </xf>
    <xf numFmtId="3" fontId="37" fillId="0" borderId="0" xfId="0" applyNumberFormat="1" applyFont="1" applyBorder="1" applyAlignment="1">
      <alignment wrapText="1"/>
    </xf>
    <xf numFmtId="168" fontId="11" fillId="2" borderId="0" xfId="0" applyNumberFormat="1" applyFont="1" applyFill="1" applyBorder="1"/>
    <xf numFmtId="0" fontId="25" fillId="0" borderId="0" xfId="0" applyNumberFormat="1" applyFont="1" applyFill="1" applyBorder="1" applyAlignment="1">
      <alignment horizontal="right"/>
    </xf>
    <xf numFmtId="0" fontId="68" fillId="8" borderId="9" xfId="0" applyFont="1" applyFill="1" applyBorder="1"/>
    <xf numFmtId="0" fontId="68" fillId="8" borderId="10" xfId="0" applyFont="1" applyFill="1" applyBorder="1"/>
    <xf numFmtId="0" fontId="69" fillId="8" borderId="12" xfId="0" applyFont="1" applyFill="1" applyBorder="1" applyAlignment="1">
      <alignment horizontal="center"/>
    </xf>
    <xf numFmtId="0" fontId="69" fillId="8" borderId="13" xfId="0" applyFont="1" applyFill="1" applyBorder="1" applyAlignment="1">
      <alignment horizontal="center"/>
    </xf>
    <xf numFmtId="0" fontId="69" fillId="8" borderId="11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0" fillId="8" borderId="8" xfId="0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66" fillId="0" borderId="0" xfId="5" applyBorder="1" applyAlignment="1" applyProtection="1"/>
    <xf numFmtId="3" fontId="43" fillId="0" borderId="0" xfId="0" applyNumberFormat="1" applyFont="1" applyBorder="1" applyAlignment="1">
      <alignment horizontal="center"/>
    </xf>
    <xf numFmtId="3" fontId="46" fillId="0" borderId="0" xfId="0" applyNumberFormat="1" applyFont="1" applyBorder="1"/>
    <xf numFmtId="0" fontId="68" fillId="8" borderId="0" xfId="0" applyFont="1" applyFill="1" applyBorder="1"/>
    <xf numFmtId="0" fontId="69" fillId="8" borderId="0" xfId="0" applyFon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9" fillId="2" borderId="0" xfId="0" applyFont="1" applyFill="1" applyBorder="1"/>
    <xf numFmtId="0" fontId="5" fillId="2" borderId="0" xfId="0" applyFont="1" applyFill="1" applyBorder="1"/>
    <xf numFmtId="0" fontId="60" fillId="2" borderId="0" xfId="0" applyFont="1" applyFill="1" applyBorder="1"/>
    <xf numFmtId="0" fontId="48" fillId="2" borderId="0" xfId="0" applyFont="1" applyFill="1" applyBorder="1"/>
    <xf numFmtId="0" fontId="9" fillId="0" borderId="0" xfId="0" applyFont="1" applyBorder="1" applyAlignment="1">
      <alignment vertical="center"/>
    </xf>
    <xf numFmtId="168" fontId="25" fillId="0" borderId="0" xfId="3" applyNumberFormat="1" applyFont="1" applyFill="1" applyBorder="1" applyAlignment="1">
      <alignment horizontal="right"/>
    </xf>
    <xf numFmtId="168" fontId="23" fillId="0" borderId="4" xfId="3" applyNumberFormat="1" applyFont="1" applyFill="1" applyBorder="1" applyAlignment="1">
      <alignment horizontal="right"/>
    </xf>
    <xf numFmtId="168" fontId="23" fillId="0" borderId="0" xfId="3" applyNumberFormat="1" applyFont="1" applyFill="1" applyBorder="1" applyAlignment="1">
      <alignment horizontal="right"/>
    </xf>
    <xf numFmtId="3" fontId="25" fillId="0" borderId="0" xfId="3" applyNumberFormat="1" applyFont="1" applyFill="1" applyAlignment="1">
      <alignment horizontal="right"/>
    </xf>
    <xf numFmtId="3" fontId="25" fillId="0" borderId="0" xfId="3" applyNumberFormat="1" applyFont="1" applyFill="1" applyBorder="1" applyAlignment="1">
      <alignment horizontal="right"/>
    </xf>
    <xf numFmtId="3" fontId="23" fillId="0" borderId="0" xfId="3" applyNumberFormat="1" applyFont="1" applyFill="1" applyAlignment="1">
      <alignment horizontal="right"/>
    </xf>
    <xf numFmtId="0" fontId="73" fillId="0" borderId="0" xfId="0" applyFont="1" applyFill="1" applyAlignment="1">
      <alignment vertical="center"/>
    </xf>
    <xf numFmtId="0" fontId="74" fillId="0" borderId="0" xfId="0" applyFont="1" applyAlignment="1"/>
    <xf numFmtId="0" fontId="23" fillId="0" borderId="5" xfId="0" applyFont="1" applyBorder="1"/>
    <xf numFmtId="0" fontId="23" fillId="0" borderId="0" xfId="0" applyFont="1" applyFill="1"/>
    <xf numFmtId="0" fontId="25" fillId="0" borderId="0" xfId="0" applyFont="1" applyFill="1" applyBorder="1"/>
    <xf numFmtId="0" fontId="0" fillId="9" borderId="0" xfId="0" applyFill="1"/>
    <xf numFmtId="0" fontId="3" fillId="0" borderId="0" xfId="0" applyFont="1"/>
    <xf numFmtId="166" fontId="63" fillId="0" borderId="15" xfId="0" applyNumberFormat="1" applyFont="1" applyBorder="1" applyAlignment="1">
      <alignment horizontal="center" vertical="center" wrapText="1"/>
    </xf>
    <xf numFmtId="0" fontId="23" fillId="0" borderId="14" xfId="0" applyFont="1" applyBorder="1"/>
    <xf numFmtId="0" fontId="23" fillId="0" borderId="7" xfId="0" applyFont="1" applyBorder="1"/>
    <xf numFmtId="0" fontId="0" fillId="0" borderId="0" xfId="0"/>
    <xf numFmtId="0" fontId="12" fillId="0" borderId="0" xfId="0" applyFont="1" applyBorder="1" applyAlignment="1">
      <alignment horizontal="left" vertical="center"/>
    </xf>
    <xf numFmtId="0" fontId="11" fillId="4" borderId="0" xfId="0" applyFont="1" applyFill="1" applyBorder="1"/>
    <xf numFmtId="169" fontId="25" fillId="0" borderId="0" xfId="0" applyNumberFormat="1" applyFont="1" applyFill="1" applyBorder="1" applyAlignment="1">
      <alignment horizontal="right"/>
    </xf>
    <xf numFmtId="0" fontId="75" fillId="0" borderId="0" xfId="0" applyFont="1" applyAlignment="1"/>
    <xf numFmtId="0" fontId="0" fillId="0" borderId="0" xfId="0" applyAlignment="1"/>
    <xf numFmtId="166" fontId="25" fillId="0" borderId="5" xfId="0" applyNumberFormat="1" applyFont="1" applyBorder="1"/>
    <xf numFmtId="0" fontId="11" fillId="0" borderId="0" xfId="0" applyFont="1" applyFill="1" applyBorder="1" applyAlignment="1">
      <alignment horizontal="left"/>
    </xf>
    <xf numFmtId="0" fontId="43" fillId="0" borderId="0" xfId="0" applyFont="1" applyFill="1" applyBorder="1"/>
    <xf numFmtId="49" fontId="2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70" fontId="0" fillId="0" borderId="0" xfId="4" applyNumberFormat="1" applyFont="1"/>
    <xf numFmtId="2" fontId="0" fillId="0" borderId="0" xfId="4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5" fillId="0" borderId="0" xfId="0" applyNumberFormat="1" applyFont="1" applyFill="1" applyBorder="1" applyAlignment="1"/>
    <xf numFmtId="168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 wrapText="1" readingOrder="2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right" readingOrder="2"/>
    </xf>
    <xf numFmtId="49" fontId="25" fillId="0" borderId="0" xfId="0" applyNumberFormat="1" applyFont="1" applyFill="1" applyBorder="1" applyAlignment="1">
      <alignment horizontal="right" readingOrder="2"/>
    </xf>
    <xf numFmtId="49" fontId="25" fillId="0" borderId="0" xfId="0" applyNumberFormat="1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right" wrapText="1" readingOrder="2"/>
    </xf>
    <xf numFmtId="0" fontId="16" fillId="0" borderId="0" xfId="0" applyFont="1" applyFill="1" applyAlignment="1">
      <alignment horizontal="right"/>
    </xf>
    <xf numFmtId="0" fontId="23" fillId="0" borderId="0" xfId="0" applyFont="1" applyFill="1" applyBorder="1"/>
    <xf numFmtId="4" fontId="25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left"/>
    </xf>
    <xf numFmtId="0" fontId="25" fillId="0" borderId="3" xfId="0" applyFont="1" applyFill="1" applyBorder="1"/>
    <xf numFmtId="0" fontId="23" fillId="0" borderId="3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 readingOrder="2"/>
    </xf>
    <xf numFmtId="3" fontId="25" fillId="0" borderId="0" xfId="0" applyNumberFormat="1" applyFont="1" applyFill="1" applyBorder="1" applyAlignment="1"/>
    <xf numFmtId="165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/>
    <xf numFmtId="0" fontId="23" fillId="0" borderId="0" xfId="0" applyFont="1" applyFill="1" applyBorder="1" applyAlignment="1"/>
    <xf numFmtId="168" fontId="25" fillId="0" borderId="0" xfId="0" applyNumberFormat="1" applyFont="1" applyFill="1" applyBorder="1"/>
    <xf numFmtId="3" fontId="25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right"/>
    </xf>
    <xf numFmtId="1" fontId="25" fillId="0" borderId="0" xfId="7" applyNumberFormat="1" applyFont="1" applyFill="1" applyBorder="1" applyAlignment="1">
      <alignment horizontal="right" vertical="center" wrapText="1" readingOrder="1"/>
    </xf>
    <xf numFmtId="0" fontId="77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/>
    </xf>
    <xf numFmtId="49" fontId="25" fillId="0" borderId="4" xfId="0" applyNumberFormat="1" applyFont="1" applyFill="1" applyBorder="1" applyAlignment="1">
      <alignment horizontal="left"/>
    </xf>
    <xf numFmtId="0" fontId="25" fillId="0" borderId="4" xfId="0" applyFont="1" applyFill="1" applyBorder="1"/>
    <xf numFmtId="165" fontId="25" fillId="0" borderId="4" xfId="0" applyNumberFormat="1" applyFont="1" applyFill="1" applyBorder="1" applyAlignment="1"/>
    <xf numFmtId="49" fontId="25" fillId="0" borderId="4" xfId="0" applyNumberFormat="1" applyFont="1" applyFill="1" applyBorder="1" applyAlignment="1">
      <alignment horizontal="right" wrapText="1" readingOrder="2"/>
    </xf>
    <xf numFmtId="0" fontId="3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 readingOrder="2"/>
    </xf>
    <xf numFmtId="0" fontId="30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right" readingOrder="2"/>
    </xf>
    <xf numFmtId="1" fontId="25" fillId="0" borderId="0" xfId="0" applyNumberFormat="1" applyFont="1" applyFill="1" applyBorder="1" applyAlignment="1"/>
    <xf numFmtId="0" fontId="68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6" fontId="25" fillId="0" borderId="0" xfId="0" applyNumberFormat="1" applyFont="1" applyFill="1" applyBorder="1" applyAlignment="1"/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/>
    <xf numFmtId="0" fontId="80" fillId="0" borderId="0" xfId="0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 vertical="center"/>
    </xf>
    <xf numFmtId="169" fontId="25" fillId="0" borderId="0" xfId="0" applyNumberFormat="1" applyFont="1" applyFill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/>
    <xf numFmtId="49" fontId="25" fillId="0" borderId="4" xfId="0" applyNumberFormat="1" applyFont="1" applyFill="1" applyBorder="1" applyAlignment="1">
      <alignment horizontal="left" wrapText="1"/>
    </xf>
    <xf numFmtId="3" fontId="25" fillId="0" borderId="4" xfId="0" applyNumberFormat="1" applyFont="1" applyFill="1" applyBorder="1" applyAlignment="1"/>
    <xf numFmtId="0" fontId="23" fillId="0" borderId="4" xfId="0" applyFont="1" applyFill="1" applyBorder="1"/>
    <xf numFmtId="166" fontId="25" fillId="0" borderId="4" xfId="0" applyNumberFormat="1" applyFont="1" applyFill="1" applyBorder="1" applyAlignment="1"/>
    <xf numFmtId="0" fontId="3" fillId="0" borderId="0" xfId="0" applyFont="1" applyFill="1"/>
    <xf numFmtId="0" fontId="83" fillId="0" borderId="0" xfId="0" applyFont="1" applyFill="1"/>
    <xf numFmtId="0" fontId="25" fillId="0" borderId="1" xfId="0" applyFont="1" applyFill="1" applyBorder="1"/>
    <xf numFmtId="0" fontId="25" fillId="0" borderId="2" xfId="0" applyFont="1" applyFill="1" applyBorder="1"/>
    <xf numFmtId="0" fontId="25" fillId="0" borderId="0" xfId="0" applyFont="1" applyFill="1" applyBorder="1" applyAlignment="1">
      <alignment horizontal="right" vertical="center" readingOrder="2"/>
    </xf>
    <xf numFmtId="0" fontId="23" fillId="0" borderId="0" xfId="0" applyFont="1" applyFill="1" applyBorder="1" applyAlignment="1">
      <alignment horizontal="left" readingOrder="1"/>
    </xf>
    <xf numFmtId="0" fontId="25" fillId="0" borderId="0" xfId="0" applyFont="1" applyFill="1" applyBorder="1" applyAlignment="1"/>
    <xf numFmtId="0" fontId="84" fillId="0" borderId="0" xfId="0" applyFont="1" applyFill="1"/>
    <xf numFmtId="168" fontId="25" fillId="0" borderId="0" xfId="6" applyNumberFormat="1" applyFont="1" applyFill="1" applyBorder="1" applyAlignment="1">
      <alignment horizontal="right"/>
    </xf>
    <xf numFmtId="0" fontId="33" fillId="0" borderId="0" xfId="0" applyFont="1" applyFill="1" applyBorder="1"/>
    <xf numFmtId="0" fontId="23" fillId="0" borderId="0" xfId="0" applyFont="1" applyFill="1" applyBorder="1" applyAlignment="1">
      <alignment horizontal="right" vertical="center" readingOrder="2"/>
    </xf>
    <xf numFmtId="0" fontId="85" fillId="0" borderId="0" xfId="0" applyFont="1" applyFill="1" applyBorder="1"/>
    <xf numFmtId="168" fontId="25" fillId="0" borderId="0" xfId="8" applyNumberFormat="1" applyFont="1" applyFill="1" applyBorder="1" applyAlignment="1">
      <alignment horizontal="right" vertical="top" wrapText="1"/>
    </xf>
    <xf numFmtId="3" fontId="25" fillId="0" borderId="4" xfId="0" applyNumberFormat="1" applyFont="1" applyFill="1" applyBorder="1"/>
    <xf numFmtId="0" fontId="25" fillId="0" borderId="4" xfId="0" applyFont="1" applyFill="1" applyBorder="1" applyAlignment="1">
      <alignment horizontal="right" vertical="center" readingOrder="2"/>
    </xf>
    <xf numFmtId="0" fontId="30" fillId="0" borderId="0" xfId="0" applyFont="1" applyFill="1" applyBorder="1"/>
    <xf numFmtId="0" fontId="30" fillId="0" borderId="0" xfId="0" applyFont="1" applyFill="1"/>
    <xf numFmtId="0" fontId="30" fillId="0" borderId="0" xfId="0" applyFont="1" applyFill="1" applyAlignment="1"/>
    <xf numFmtId="0" fontId="30" fillId="0" borderId="0" xfId="0" applyFont="1" applyFill="1" applyAlignment="1">
      <alignment horizontal="right" vertical="top" readingOrder="2"/>
    </xf>
    <xf numFmtId="0" fontId="86" fillId="0" borderId="0" xfId="0" applyFont="1" applyFill="1" applyAlignment="1"/>
    <xf numFmtId="0" fontId="87" fillId="0" borderId="0" xfId="0" applyFont="1" applyFill="1"/>
    <xf numFmtId="0" fontId="30" fillId="0" borderId="0" xfId="0" applyFont="1" applyFill="1" applyAlignment="1">
      <alignment horizontal="right" vertical="top" readingOrder="1"/>
    </xf>
    <xf numFmtId="0" fontId="68" fillId="0" borderId="0" xfId="0" applyFont="1" applyFill="1" applyAlignment="1"/>
    <xf numFmtId="0" fontId="81" fillId="0" borderId="0" xfId="0" applyFont="1" applyFill="1"/>
    <xf numFmtId="0" fontId="81" fillId="0" borderId="0" xfId="0" applyFont="1" applyFill="1" applyAlignment="1">
      <alignment horizontal="right" readingOrder="2"/>
    </xf>
    <xf numFmtId="0" fontId="81" fillId="0" borderId="0" xfId="0" applyFont="1" applyFill="1" applyAlignment="1">
      <alignment horizontal="right"/>
    </xf>
    <xf numFmtId="0" fontId="88" fillId="0" borderId="0" xfId="0" applyFont="1" applyFill="1" applyAlignment="1">
      <alignment horizontal="right" readingOrder="2"/>
    </xf>
    <xf numFmtId="0" fontId="88" fillId="0" borderId="0" xfId="0" applyFont="1" applyFill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right" readingOrder="2"/>
    </xf>
    <xf numFmtId="169" fontId="25" fillId="0" borderId="0" xfId="0" applyNumberFormat="1" applyFont="1" applyFill="1" applyBorder="1"/>
    <xf numFmtId="169" fontId="23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/>
    <xf numFmtId="169" fontId="3" fillId="0" borderId="4" xfId="0" applyNumberFormat="1" applyFont="1" applyFill="1" applyBorder="1"/>
    <xf numFmtId="0" fontId="23" fillId="0" borderId="3" xfId="3" applyFont="1" applyFill="1" applyBorder="1" applyAlignment="1">
      <alignment horizontal="center"/>
    </xf>
    <xf numFmtId="0" fontId="25" fillId="0" borderId="0" xfId="3" applyFont="1" applyFill="1"/>
    <xf numFmtId="0" fontId="23" fillId="0" borderId="0" xfId="3" applyFont="1" applyFill="1" applyAlignment="1">
      <alignment horizontal="left" vertical="center" indent="1"/>
    </xf>
    <xf numFmtId="3" fontId="25" fillId="0" borderId="0" xfId="3" applyNumberFormat="1" applyFont="1" applyFill="1" applyAlignment="1"/>
    <xf numFmtId="0" fontId="23" fillId="0" borderId="0" xfId="3" applyFont="1" applyFill="1" applyAlignment="1">
      <alignment horizontal="right" indent="1"/>
    </xf>
    <xf numFmtId="169" fontId="25" fillId="0" borderId="0" xfId="3" applyNumberFormat="1" applyFont="1" applyFill="1" applyAlignment="1">
      <alignment horizontal="right"/>
    </xf>
    <xf numFmtId="0" fontId="23" fillId="0" borderId="0" xfId="3" applyNumberFormat="1" applyFont="1" applyFill="1" applyBorder="1" applyAlignment="1">
      <alignment horizontal="right" readingOrder="2"/>
    </xf>
    <xf numFmtId="49" fontId="23" fillId="0" borderId="0" xfId="3" applyNumberFormat="1" applyFont="1" applyFill="1" applyBorder="1" applyAlignment="1">
      <alignment horizontal="right" wrapText="1" readingOrder="2"/>
    </xf>
    <xf numFmtId="0" fontId="23" fillId="0" borderId="0" xfId="3" applyFont="1" applyFill="1" applyAlignment="1">
      <alignment horizontal="left" vertical="center" wrapText="1" indent="1"/>
    </xf>
    <xf numFmtId="0" fontId="23" fillId="0" borderId="0" xfId="3" applyFont="1" applyFill="1" applyBorder="1" applyAlignment="1">
      <alignment horizontal="left" vertical="center" indent="1"/>
    </xf>
    <xf numFmtId="3" fontId="25" fillId="0" borderId="0" xfId="3" applyNumberFormat="1" applyFont="1" applyFill="1" applyBorder="1" applyAlignment="1"/>
    <xf numFmtId="0" fontId="23" fillId="0" borderId="0" xfId="3" applyFont="1" applyFill="1" applyBorder="1" applyAlignment="1">
      <alignment horizontal="right" indent="1"/>
    </xf>
    <xf numFmtId="0" fontId="23" fillId="0" borderId="4" xfId="3" applyFont="1" applyFill="1" applyBorder="1" applyAlignment="1">
      <alignment horizontal="left" vertical="center" indent="1"/>
    </xf>
    <xf numFmtId="3" fontId="25" fillId="0" borderId="4" xfId="3" applyNumberFormat="1" applyFont="1" applyFill="1" applyBorder="1" applyAlignment="1"/>
    <xf numFmtId="0" fontId="23" fillId="0" borderId="4" xfId="3" applyFont="1" applyFill="1" applyBorder="1" applyAlignment="1">
      <alignment horizontal="right" indent="1"/>
    </xf>
    <xf numFmtId="0" fontId="23" fillId="0" borderId="0" xfId="3" applyFont="1" applyFill="1" applyAlignment="1">
      <alignment horizontal="right"/>
    </xf>
    <xf numFmtId="3" fontId="23" fillId="0" borderId="0" xfId="3" applyNumberFormat="1" applyFont="1" applyFill="1" applyAlignment="1"/>
    <xf numFmtId="0" fontId="23" fillId="0" borderId="0" xfId="3" applyFont="1" applyFill="1" applyAlignment="1">
      <alignment horizontal="left"/>
    </xf>
    <xf numFmtId="0" fontId="23" fillId="0" borderId="0" xfId="3" applyFont="1" applyFill="1" applyAlignment="1">
      <alignment horizontal="left" vertical="center"/>
    </xf>
    <xf numFmtId="3" fontId="25" fillId="0" borderId="0" xfId="3" applyNumberFormat="1" applyFont="1" applyFill="1"/>
    <xf numFmtId="0" fontId="23" fillId="0" borderId="0" xfId="3" applyFont="1" applyFill="1"/>
    <xf numFmtId="0" fontId="23" fillId="0" borderId="0" xfId="3" applyFont="1" applyFill="1" applyAlignment="1">
      <alignment horizontal="left" vertical="center" wrapText="1"/>
    </xf>
    <xf numFmtId="0" fontId="23" fillId="0" borderId="0" xfId="3" applyFont="1" applyFill="1" applyAlignment="1">
      <alignment vertical="center"/>
    </xf>
    <xf numFmtId="0" fontId="23" fillId="0" borderId="0" xfId="3" applyFont="1" applyFill="1" applyAlignment="1">
      <alignment horizontal="right" vertical="center" indent="1"/>
    </xf>
    <xf numFmtId="3" fontId="25" fillId="0" borderId="0" xfId="3" applyNumberFormat="1" applyFont="1" applyFill="1" applyBorder="1"/>
    <xf numFmtId="0" fontId="30" fillId="0" borderId="6" xfId="3" applyFont="1" applyFill="1" applyBorder="1" applyAlignment="1">
      <alignment vertical="center" wrapText="1"/>
    </xf>
    <xf numFmtId="0" fontId="3" fillId="0" borderId="0" xfId="3" applyFont="1" applyFill="1"/>
    <xf numFmtId="0" fontId="83" fillId="0" borderId="0" xfId="3" applyFont="1" applyFill="1"/>
    <xf numFmtId="0" fontId="22" fillId="0" borderId="0" xfId="3" applyFont="1" applyFill="1"/>
    <xf numFmtId="0" fontId="23" fillId="0" borderId="4" xfId="3" applyFont="1" applyFill="1" applyBorder="1" applyAlignment="1">
      <alignment horizontal="left"/>
    </xf>
    <xf numFmtId="0" fontId="25" fillId="0" borderId="4" xfId="3" applyFont="1" applyFill="1" applyBorder="1"/>
    <xf numFmtId="0" fontId="23" fillId="0" borderId="4" xfId="3" applyFont="1" applyFill="1" applyBorder="1" applyAlignment="1">
      <alignment horizontal="right"/>
    </xf>
    <xf numFmtId="0" fontId="23" fillId="0" borderId="3" xfId="3" applyFont="1" applyFill="1" applyBorder="1" applyAlignment="1">
      <alignment horizontal="left"/>
    </xf>
    <xf numFmtId="0" fontId="23" fillId="0" borderId="3" xfId="3" applyFont="1" applyFill="1" applyBorder="1" applyAlignment="1">
      <alignment horizontal="right"/>
    </xf>
    <xf numFmtId="0" fontId="25" fillId="0" borderId="1" xfId="3" applyFont="1" applyFill="1" applyBorder="1"/>
    <xf numFmtId="0" fontId="23" fillId="0" borderId="0" xfId="3" applyFont="1" applyFill="1" applyAlignment="1">
      <alignment horizontal="right" wrapText="1"/>
    </xf>
    <xf numFmtId="0" fontId="25" fillId="0" borderId="0" xfId="3" applyFont="1" applyFill="1" applyAlignment="1"/>
    <xf numFmtId="3" fontId="91" fillId="0" borderId="0" xfId="3" applyNumberFormat="1" applyFont="1" applyFill="1"/>
    <xf numFmtId="3" fontId="25" fillId="0" borderId="4" xfId="3" applyNumberFormat="1" applyFont="1" applyFill="1" applyBorder="1"/>
    <xf numFmtId="0" fontId="30" fillId="0" borderId="0" xfId="3" applyFont="1" applyFill="1" applyAlignment="1">
      <alignment vertical="center"/>
    </xf>
    <xf numFmtId="0" fontId="30" fillId="0" borderId="0" xfId="3" applyFont="1" applyFill="1" applyAlignment="1">
      <alignment horizontal="left" wrapText="1"/>
    </xf>
    <xf numFmtId="0" fontId="30" fillId="0" borderId="0" xfId="3" applyFont="1" applyFill="1"/>
    <xf numFmtId="0" fontId="30" fillId="0" borderId="0" xfId="3" applyFont="1" applyFill="1" applyAlignment="1">
      <alignment horizontal="right" wrapText="1"/>
    </xf>
    <xf numFmtId="0" fontId="81" fillId="0" borderId="0" xfId="3" applyFont="1" applyFill="1"/>
    <xf numFmtId="0" fontId="23" fillId="0" borderId="3" xfId="0" applyFont="1" applyFill="1" applyBorder="1"/>
    <xf numFmtId="0" fontId="24" fillId="0" borderId="3" xfId="0" applyFont="1" applyFill="1" applyBorder="1" applyAlignment="1">
      <alignment horizontal="center" wrapText="1"/>
    </xf>
    <xf numFmtId="0" fontId="0" fillId="4" borderId="0" xfId="0" applyFill="1" applyBorder="1"/>
    <xf numFmtId="0" fontId="3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9" fillId="8" borderId="0" xfId="0" applyFont="1" applyFill="1" applyBorder="1" applyAlignment="1">
      <alignment horizontal="center"/>
    </xf>
    <xf numFmtId="0" fontId="18" fillId="0" borderId="0" xfId="3" applyFont="1" applyFill="1" applyAlignment="1">
      <alignment horizontal="center" vertical="center"/>
    </xf>
    <xf numFmtId="0" fontId="82" fillId="0" borderId="0" xfId="3" applyFont="1" applyFill="1" applyAlignment="1">
      <alignment horizontal="center" vertical="center"/>
    </xf>
    <xf numFmtId="0" fontId="33" fillId="0" borderId="0" xfId="3" applyFont="1" applyFill="1" applyAlignment="1">
      <alignment horizontal="center" vertical="center"/>
    </xf>
    <xf numFmtId="0" fontId="30" fillId="0" borderId="6" xfId="3" applyFont="1" applyFill="1" applyBorder="1" applyAlignment="1">
      <alignment horizontal="left" vertical="center" wrapText="1"/>
    </xf>
    <xf numFmtId="0" fontId="30" fillId="0" borderId="6" xfId="3" applyFont="1" applyFill="1" applyBorder="1" applyAlignment="1">
      <alignment horizontal="right" vertical="center" wrapText="1" readingOrder="2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readingOrder="2"/>
    </xf>
  </cellXfs>
  <cellStyles count="9">
    <cellStyle name="Currency" xfId="1" builtinId="4"/>
    <cellStyle name="Hyperlink" xfId="5" builtinId="8"/>
    <cellStyle name="Normal" xfId="0" builtinId="0"/>
    <cellStyle name="Normal 2" xfId="2"/>
    <cellStyle name="Normal 2 2" xfId="3"/>
    <cellStyle name="Normal 3" xfId="6"/>
    <cellStyle name="Normal 4" xfId="8"/>
    <cellStyle name="Normal_تحديث بيانات موقع المالية2008" xfId="7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129</xdr:row>
      <xdr:rowOff>38100</xdr:rowOff>
    </xdr:from>
    <xdr:to>
      <xdr:col>28</xdr:col>
      <xdr:colOff>428625</xdr:colOff>
      <xdr:row>129</xdr:row>
      <xdr:rowOff>83819</xdr:rowOff>
    </xdr:to>
    <xdr:sp macro="" textlink="">
      <xdr:nvSpPr>
        <xdr:cNvPr id="2" name="Right Arrow 1"/>
        <xdr:cNvSpPr/>
      </xdr:nvSpPr>
      <xdr:spPr>
        <a:xfrm>
          <a:off x="15373350" y="16478250"/>
          <a:ext cx="10096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130" zoomScaleSheetLayoutView="130" workbookViewId="0">
      <pane ySplit="5" topLeftCell="A6" activePane="bottomLeft" state="frozenSplit"/>
      <selection pane="bottomLeft" activeCell="A3" sqref="A3:P3"/>
    </sheetView>
  </sheetViews>
  <sheetFormatPr defaultRowHeight="12.75"/>
  <cols>
    <col min="1" max="1" width="23.5703125" style="3" customWidth="1"/>
    <col min="2" max="2" width="2" style="3" customWidth="1"/>
    <col min="3" max="3" width="6.7109375" style="3" hidden="1" customWidth="1"/>
    <col min="4" max="5" width="8" style="3" hidden="1" customWidth="1"/>
    <col min="6" max="6" width="9.5703125" style="3" hidden="1" customWidth="1"/>
    <col min="7" max="9" width="8" style="3" hidden="1" customWidth="1"/>
    <col min="10" max="13" width="8" style="3" customWidth="1"/>
    <col min="14" max="14" width="7.85546875" style="69" customWidth="1"/>
    <col min="15" max="15" width="2.140625" style="3" customWidth="1"/>
    <col min="16" max="16" width="21.85546875" style="3" customWidth="1"/>
    <col min="17" max="17" width="9" style="3" customWidth="1"/>
    <col min="18" max="19" width="9.140625" style="3"/>
    <col min="20" max="20" width="10.140625" style="3" customWidth="1"/>
    <col min="21" max="21" width="11.85546875" style="3" bestFit="1" customWidth="1"/>
    <col min="22" max="22" width="14.140625" style="3" bestFit="1" customWidth="1"/>
    <col min="23" max="23" width="12.42578125" style="3" bestFit="1" customWidth="1"/>
    <col min="24" max="16384" width="9.140625" style="3"/>
  </cols>
  <sheetData>
    <row r="1" spans="1:26" s="1" customFormat="1" ht="12.95" customHeight="1">
      <c r="A1" s="314" t="s">
        <v>131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26" s="2" customFormat="1" ht="17.100000000000001" customHeight="1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26" ht="12.95" customHeight="1">
      <c r="A3" s="316" t="s">
        <v>164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26" ht="12.9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26" s="4" customFormat="1" ht="20.100000000000001" customHeight="1" thickBot="1">
      <c r="A5" s="184" t="s">
        <v>1</v>
      </c>
      <c r="B5" s="185"/>
      <c r="C5" s="186">
        <v>2002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7">
        <v>2008</v>
      </c>
      <c r="J5" s="187">
        <v>2009</v>
      </c>
      <c r="K5" s="187">
        <v>2010</v>
      </c>
      <c r="L5" s="187">
        <v>2011</v>
      </c>
      <c r="M5" s="187">
        <v>2012</v>
      </c>
      <c r="N5" s="187">
        <v>2013</v>
      </c>
      <c r="O5" s="185"/>
      <c r="P5" s="186" t="s">
        <v>2</v>
      </c>
    </row>
    <row r="6" spans="1:26" s="5" customFormat="1">
      <c r="A6" s="150"/>
      <c r="B6" s="188" t="s">
        <v>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73" t="s">
        <v>4</v>
      </c>
      <c r="P6" s="150"/>
    </row>
    <row r="7" spans="1:26" s="6" customFormat="1" ht="20.100000000000001" customHeight="1">
      <c r="A7" s="165" t="s">
        <v>116</v>
      </c>
      <c r="B7" s="188" t="s">
        <v>144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73" t="s">
        <v>145</v>
      </c>
      <c r="P7" s="189" t="s">
        <v>82</v>
      </c>
    </row>
    <row r="8" spans="1:26" s="6" customFormat="1" ht="12.2" customHeight="1">
      <c r="A8" s="175" t="s">
        <v>32</v>
      </c>
      <c r="B8" s="150"/>
      <c r="C8" s="190"/>
      <c r="D8" s="191" t="s">
        <v>61</v>
      </c>
      <c r="E8" s="191" t="s">
        <v>61</v>
      </c>
      <c r="F8" s="191" t="s">
        <v>61</v>
      </c>
      <c r="G8" s="191" t="s">
        <v>61</v>
      </c>
      <c r="H8" s="191" t="s">
        <v>61</v>
      </c>
      <c r="I8" s="75">
        <v>183</v>
      </c>
      <c r="J8" s="75">
        <v>159</v>
      </c>
      <c r="K8" s="75">
        <v>179</v>
      </c>
      <c r="L8" s="75">
        <v>169</v>
      </c>
      <c r="M8" s="75">
        <v>218</v>
      </c>
      <c r="N8" s="75">
        <v>224</v>
      </c>
      <c r="O8" s="150"/>
      <c r="P8" s="176" t="s">
        <v>33</v>
      </c>
      <c r="R8" s="117"/>
      <c r="S8" s="116"/>
      <c r="T8" s="14"/>
      <c r="U8" s="115"/>
      <c r="V8" s="115"/>
      <c r="X8" s="101"/>
      <c r="Y8" s="101"/>
      <c r="Z8" s="102"/>
    </row>
    <row r="9" spans="1:26" s="6" customFormat="1" ht="12.2" customHeight="1">
      <c r="A9" s="175" t="s">
        <v>121</v>
      </c>
      <c r="B9" s="150"/>
      <c r="C9" s="192"/>
      <c r="D9" s="191" t="s">
        <v>61</v>
      </c>
      <c r="E9" s="191" t="s">
        <v>61</v>
      </c>
      <c r="F9" s="191" t="s">
        <v>61</v>
      </c>
      <c r="G9" s="191" t="s">
        <v>61</v>
      </c>
      <c r="H9" s="191" t="s">
        <v>61</v>
      </c>
      <c r="I9" s="191" t="s">
        <v>61</v>
      </c>
      <c r="J9" s="191" t="s">
        <v>61</v>
      </c>
      <c r="K9" s="191" t="s">
        <v>61</v>
      </c>
      <c r="L9" s="191" t="s">
        <v>61</v>
      </c>
      <c r="M9" s="191" t="s">
        <v>61</v>
      </c>
      <c r="N9" s="191" t="s">
        <v>61</v>
      </c>
      <c r="O9" s="150"/>
      <c r="P9" s="177" t="s">
        <v>122</v>
      </c>
      <c r="R9" s="14"/>
      <c r="S9" s="14"/>
      <c r="T9" s="14"/>
      <c r="U9" s="23"/>
      <c r="V9" s="23"/>
      <c r="X9" s="23"/>
      <c r="Y9" s="23"/>
      <c r="Z9" s="24"/>
    </row>
    <row r="10" spans="1:26" s="6" customFormat="1" ht="12" customHeight="1">
      <c r="A10" s="175" t="s">
        <v>34</v>
      </c>
      <c r="B10" s="150"/>
      <c r="C10" s="190"/>
      <c r="D10" s="191" t="s">
        <v>61</v>
      </c>
      <c r="E10" s="191" t="s">
        <v>61</v>
      </c>
      <c r="F10" s="191" t="s">
        <v>61</v>
      </c>
      <c r="G10" s="191" t="s">
        <v>61</v>
      </c>
      <c r="H10" s="191" t="s">
        <v>61</v>
      </c>
      <c r="I10" s="191" t="s">
        <v>61</v>
      </c>
      <c r="J10" s="191" t="s">
        <v>61</v>
      </c>
      <c r="K10" s="191" t="s">
        <v>61</v>
      </c>
      <c r="L10" s="191" t="s">
        <v>61</v>
      </c>
      <c r="M10" s="191" t="s">
        <v>61</v>
      </c>
      <c r="N10" s="191" t="s">
        <v>61</v>
      </c>
      <c r="O10" s="150"/>
      <c r="P10" s="177" t="s">
        <v>35</v>
      </c>
      <c r="R10" s="20"/>
      <c r="S10" s="14"/>
      <c r="U10" s="23"/>
      <c r="V10" s="23"/>
      <c r="W10" s="23"/>
      <c r="X10" s="23"/>
      <c r="Y10" s="23"/>
      <c r="Z10" s="24"/>
    </row>
    <row r="11" spans="1:26" s="6" customFormat="1" ht="12.2" customHeight="1">
      <c r="A11" s="178" t="s">
        <v>36</v>
      </c>
      <c r="B11" s="150"/>
      <c r="C11" s="190"/>
      <c r="D11" s="191" t="s">
        <v>61</v>
      </c>
      <c r="E11" s="191" t="s">
        <v>61</v>
      </c>
      <c r="F11" s="191" t="s">
        <v>61</v>
      </c>
      <c r="G11" s="191" t="s">
        <v>61</v>
      </c>
      <c r="H11" s="191" t="s">
        <v>61</v>
      </c>
      <c r="I11" s="191" t="s">
        <v>61</v>
      </c>
      <c r="J11" s="191" t="s">
        <v>61</v>
      </c>
      <c r="K11" s="191" t="s">
        <v>61</v>
      </c>
      <c r="L11" s="191" t="s">
        <v>61</v>
      </c>
      <c r="M11" s="191" t="s">
        <v>61</v>
      </c>
      <c r="N11" s="191" t="s">
        <v>61</v>
      </c>
      <c r="O11" s="150"/>
      <c r="P11" s="179" t="s">
        <v>37</v>
      </c>
      <c r="R11" s="17"/>
      <c r="U11" s="25"/>
      <c r="V11" s="25"/>
      <c r="W11" s="25"/>
      <c r="X11" s="25"/>
      <c r="Y11" s="25"/>
      <c r="Z11" s="24"/>
    </row>
    <row r="12" spans="1:26" s="6" customFormat="1" ht="12.2" customHeight="1">
      <c r="A12" s="178" t="s">
        <v>38</v>
      </c>
      <c r="B12" s="150"/>
      <c r="C12" s="190"/>
      <c r="D12" s="191" t="s">
        <v>61</v>
      </c>
      <c r="E12" s="191" t="s">
        <v>61</v>
      </c>
      <c r="F12" s="191" t="s">
        <v>61</v>
      </c>
      <c r="G12" s="191" t="s">
        <v>61</v>
      </c>
      <c r="H12" s="191"/>
      <c r="I12" s="191" t="s">
        <v>61</v>
      </c>
      <c r="J12" s="191" t="s">
        <v>61</v>
      </c>
      <c r="K12" s="191" t="s">
        <v>61</v>
      </c>
      <c r="L12" s="191" t="s">
        <v>61</v>
      </c>
      <c r="M12" s="191" t="s">
        <v>61</v>
      </c>
      <c r="N12" s="191" t="s">
        <v>61</v>
      </c>
      <c r="O12" s="150"/>
      <c r="P12" s="177" t="s">
        <v>39</v>
      </c>
      <c r="R12" s="17"/>
      <c r="U12" s="23"/>
      <c r="V12" s="23"/>
      <c r="W12" s="23"/>
      <c r="X12" s="23"/>
      <c r="Y12" s="23"/>
      <c r="Z12" s="24"/>
    </row>
    <row r="13" spans="1:26" s="6" customFormat="1" ht="12.2" customHeight="1">
      <c r="A13" s="175" t="s">
        <v>40</v>
      </c>
      <c r="B13" s="150"/>
      <c r="C13" s="171"/>
      <c r="D13" s="75">
        <f>SUM(D14:D15)</f>
        <v>1145.5</v>
      </c>
      <c r="E13" s="75">
        <f>SUM(E14:E15)</f>
        <v>1300.4000000000001</v>
      </c>
      <c r="F13" s="75">
        <f>SUM(F14:F15)</f>
        <v>1671.4</v>
      </c>
      <c r="G13" s="75">
        <f>SUM(G14:G15)</f>
        <v>1839.5</v>
      </c>
      <c r="H13" s="75">
        <v>2036.7</v>
      </c>
      <c r="I13" s="75">
        <f>I14+I15</f>
        <v>2494.5</v>
      </c>
      <c r="J13" s="75">
        <f t="shared" ref="J13:M13" si="0">J14+J15</f>
        <v>1548.8</v>
      </c>
      <c r="K13" s="75">
        <f t="shared" si="0"/>
        <v>1996</v>
      </c>
      <c r="L13" s="75">
        <f t="shared" si="0"/>
        <v>2653</v>
      </c>
      <c r="M13" s="75">
        <f t="shared" si="0"/>
        <v>2816</v>
      </c>
      <c r="N13" s="75">
        <v>2720</v>
      </c>
      <c r="O13" s="150"/>
      <c r="P13" s="177" t="s">
        <v>41</v>
      </c>
      <c r="Q13" s="62"/>
      <c r="R13" s="61"/>
      <c r="S13" s="61"/>
      <c r="T13" s="46"/>
      <c r="U13" s="23"/>
      <c r="V13" s="23"/>
      <c r="W13" s="23"/>
      <c r="X13" s="23"/>
      <c r="Y13" s="23"/>
      <c r="Z13" s="24"/>
    </row>
    <row r="14" spans="1:26" s="6" customFormat="1" ht="12.2" customHeight="1">
      <c r="A14" s="175" t="s">
        <v>42</v>
      </c>
      <c r="B14" s="150"/>
      <c r="C14" s="171"/>
      <c r="D14" s="75">
        <v>836.1</v>
      </c>
      <c r="E14" s="75">
        <v>943.8</v>
      </c>
      <c r="F14" s="75">
        <v>1265.3</v>
      </c>
      <c r="G14" s="75">
        <v>1416.6</v>
      </c>
      <c r="H14" s="75">
        <v>1630.5</v>
      </c>
      <c r="I14" s="75">
        <v>2284.5</v>
      </c>
      <c r="J14" s="75">
        <v>1417.8</v>
      </c>
      <c r="K14" s="75">
        <v>1852</v>
      </c>
      <c r="L14" s="75">
        <v>2479</v>
      </c>
      <c r="M14" s="75">
        <v>2645</v>
      </c>
      <c r="N14" s="75">
        <v>2600</v>
      </c>
      <c r="O14" s="150"/>
      <c r="P14" s="176" t="s">
        <v>43</v>
      </c>
      <c r="R14" s="17"/>
      <c r="U14" s="25"/>
      <c r="V14" s="25"/>
      <c r="W14" s="25"/>
      <c r="X14" s="25"/>
      <c r="Y14" s="25"/>
      <c r="Z14" s="26"/>
    </row>
    <row r="15" spans="1:26" s="6" customFormat="1" ht="12.2" customHeight="1">
      <c r="A15" s="175" t="s">
        <v>38</v>
      </c>
      <c r="B15" s="150"/>
      <c r="C15" s="171"/>
      <c r="D15" s="75">
        <v>309.39999999999998</v>
      </c>
      <c r="E15" s="75">
        <v>356.6</v>
      </c>
      <c r="F15" s="75">
        <v>406.1</v>
      </c>
      <c r="G15" s="75">
        <v>422.9</v>
      </c>
      <c r="H15" s="75">
        <v>406.2</v>
      </c>
      <c r="I15" s="75">
        <v>210</v>
      </c>
      <c r="J15" s="75">
        <v>131</v>
      </c>
      <c r="K15" s="75">
        <v>144</v>
      </c>
      <c r="L15" s="75">
        <v>174</v>
      </c>
      <c r="M15" s="75">
        <v>171</v>
      </c>
      <c r="N15" s="75">
        <v>120</v>
      </c>
      <c r="O15" s="150"/>
      <c r="P15" s="179" t="s">
        <v>39</v>
      </c>
      <c r="U15" s="23"/>
      <c r="V15" s="23"/>
      <c r="W15" s="23"/>
      <c r="X15" s="23"/>
      <c r="Y15" s="23"/>
      <c r="Z15" s="24"/>
    </row>
    <row r="16" spans="1:26" s="6" customFormat="1" ht="12.2" customHeight="1">
      <c r="A16" s="175" t="s">
        <v>44</v>
      </c>
      <c r="B16" s="150"/>
      <c r="C16" s="171"/>
      <c r="D16" s="75">
        <f t="shared" ref="D16:H16" si="1">SUM(D14:D15)</f>
        <v>1145.5</v>
      </c>
      <c r="E16" s="75">
        <f t="shared" si="1"/>
        <v>1300.4000000000001</v>
      </c>
      <c r="F16" s="75">
        <f t="shared" si="1"/>
        <v>1671.4</v>
      </c>
      <c r="G16" s="75">
        <f t="shared" si="1"/>
        <v>1839.5</v>
      </c>
      <c r="H16" s="75">
        <f t="shared" si="1"/>
        <v>2036.7</v>
      </c>
      <c r="I16" s="75">
        <f>I8+I13</f>
        <v>2677.5</v>
      </c>
      <c r="J16" s="75">
        <f>J8+J13</f>
        <v>1707.8</v>
      </c>
      <c r="K16" s="75">
        <f t="shared" ref="K16:M16" si="2">K8+K13</f>
        <v>2175</v>
      </c>
      <c r="L16" s="75">
        <f t="shared" si="2"/>
        <v>2822</v>
      </c>
      <c r="M16" s="75">
        <f t="shared" si="2"/>
        <v>3034</v>
      </c>
      <c r="N16" s="75">
        <v>2944</v>
      </c>
      <c r="O16" s="150"/>
      <c r="P16" s="176" t="s">
        <v>45</v>
      </c>
      <c r="U16" s="23"/>
      <c r="V16" s="23"/>
      <c r="W16" s="23"/>
      <c r="X16" s="23"/>
      <c r="Y16" s="23"/>
      <c r="Z16" s="24"/>
    </row>
    <row r="17" spans="1:26" s="6" customFormat="1" ht="20.100000000000001" customHeight="1">
      <c r="A17" s="188" t="s">
        <v>284</v>
      </c>
      <c r="B17" s="188" t="s">
        <v>146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73" t="s">
        <v>147</v>
      </c>
      <c r="P17" s="189" t="s">
        <v>285</v>
      </c>
      <c r="U17" s="23"/>
      <c r="V17" s="23"/>
      <c r="W17" s="23"/>
      <c r="X17" s="23"/>
      <c r="Y17" s="23"/>
      <c r="Z17" s="24"/>
    </row>
    <row r="18" spans="1:26" s="6" customFormat="1" ht="12.2" customHeight="1">
      <c r="A18" s="175" t="s">
        <v>32</v>
      </c>
      <c r="B18" s="150"/>
      <c r="C18" s="75">
        <f t="shared" ref="C18:I18" si="3">SUM(C19:C22)</f>
        <v>57486</v>
      </c>
      <c r="D18" s="75">
        <f t="shared" si="3"/>
        <v>64793</v>
      </c>
      <c r="E18" s="75">
        <f t="shared" si="3"/>
        <v>75759</v>
      </c>
      <c r="F18" s="75">
        <f t="shared" si="3"/>
        <v>97779</v>
      </c>
      <c r="G18" s="75">
        <f t="shared" si="3"/>
        <v>114327</v>
      </c>
      <c r="H18" s="75">
        <f t="shared" si="3"/>
        <v>137195</v>
      </c>
      <c r="I18" s="75">
        <f t="shared" si="3"/>
        <v>163223</v>
      </c>
      <c r="J18" s="75">
        <v>170494</v>
      </c>
      <c r="K18" s="75">
        <v>192072</v>
      </c>
      <c r="L18" s="75">
        <v>207410</v>
      </c>
      <c r="M18" s="75">
        <v>266905</v>
      </c>
      <c r="N18" s="75">
        <v>356925</v>
      </c>
      <c r="O18" s="150"/>
      <c r="P18" s="176" t="s">
        <v>33</v>
      </c>
      <c r="U18" s="27"/>
      <c r="V18" s="27"/>
      <c r="W18" s="27"/>
      <c r="X18" s="27"/>
      <c r="Y18" s="27"/>
      <c r="Z18" s="24"/>
    </row>
    <row r="19" spans="1:26" s="6" customFormat="1" ht="12.2" customHeight="1">
      <c r="A19" s="175" t="s">
        <v>121</v>
      </c>
      <c r="B19" s="150"/>
      <c r="C19" s="75">
        <v>23189</v>
      </c>
      <c r="D19" s="75">
        <f>26903</f>
        <v>26903</v>
      </c>
      <c r="E19" s="75">
        <f>31571+1034</f>
        <v>32605</v>
      </c>
      <c r="F19" s="75">
        <f>48268+1214</f>
        <v>49482</v>
      </c>
      <c r="G19" s="75">
        <f>58535+1788</f>
        <v>60323</v>
      </c>
      <c r="H19" s="75">
        <f>67059+2052</f>
        <v>69111</v>
      </c>
      <c r="I19" s="75">
        <f>80255+2763</f>
        <v>83018</v>
      </c>
      <c r="J19" s="75">
        <v>85388</v>
      </c>
      <c r="K19" s="75">
        <v>99045</v>
      </c>
      <c r="L19" s="75">
        <v>104334</v>
      </c>
      <c r="M19" s="75">
        <v>141237.5</v>
      </c>
      <c r="N19" s="75">
        <v>182237.7</v>
      </c>
      <c r="O19" s="150"/>
      <c r="P19" s="177" t="s">
        <v>120</v>
      </c>
      <c r="R19" s="17"/>
      <c r="S19" s="7"/>
      <c r="U19" s="23"/>
      <c r="V19" s="23"/>
      <c r="W19" s="23"/>
      <c r="X19" s="23"/>
      <c r="Y19" s="23"/>
      <c r="Z19" s="26"/>
    </row>
    <row r="20" spans="1:26" s="6" customFormat="1" ht="12.2" customHeight="1">
      <c r="A20" s="175" t="s">
        <v>34</v>
      </c>
      <c r="B20" s="150"/>
      <c r="C20" s="75">
        <v>22782</v>
      </c>
      <c r="D20" s="75">
        <v>25757</v>
      </c>
      <c r="E20" s="75">
        <v>31430</v>
      </c>
      <c r="F20" s="75">
        <v>34699</v>
      </c>
      <c r="G20" s="75">
        <v>39436</v>
      </c>
      <c r="H20" s="75">
        <v>49747</v>
      </c>
      <c r="I20" s="75">
        <v>62650</v>
      </c>
      <c r="J20" s="75">
        <v>67095</v>
      </c>
      <c r="K20" s="75">
        <v>76068</v>
      </c>
      <c r="L20" s="75">
        <v>84594</v>
      </c>
      <c r="M20" s="75">
        <v>100702</v>
      </c>
      <c r="N20" s="75">
        <v>144184.29999999999</v>
      </c>
      <c r="O20" s="150"/>
      <c r="P20" s="177" t="s">
        <v>35</v>
      </c>
      <c r="R20" s="17"/>
      <c r="U20" s="28"/>
      <c r="V20" s="28"/>
      <c r="W20" s="28"/>
      <c r="X20" s="28"/>
      <c r="Y20" s="28"/>
      <c r="Z20" s="26"/>
    </row>
    <row r="21" spans="1:26" s="6" customFormat="1" ht="12.2" customHeight="1">
      <c r="A21" s="178" t="s">
        <v>36</v>
      </c>
      <c r="B21" s="150"/>
      <c r="C21" s="75">
        <v>11354</v>
      </c>
      <c r="D21" s="75">
        <v>11970</v>
      </c>
      <c r="E21" s="75">
        <v>7744</v>
      </c>
      <c r="F21" s="75">
        <v>9654</v>
      </c>
      <c r="G21" s="75">
        <v>10370</v>
      </c>
      <c r="H21" s="75">
        <v>14020</v>
      </c>
      <c r="I21" s="75">
        <v>14091</v>
      </c>
      <c r="J21" s="75">
        <v>14702</v>
      </c>
      <c r="K21" s="75">
        <v>13858</v>
      </c>
      <c r="L21" s="75">
        <v>14788</v>
      </c>
      <c r="M21" s="75">
        <v>20758</v>
      </c>
      <c r="N21" s="75">
        <v>21546</v>
      </c>
      <c r="O21" s="150"/>
      <c r="P21" s="179" t="s">
        <v>37</v>
      </c>
      <c r="R21" s="17"/>
    </row>
    <row r="22" spans="1:26" s="6" customFormat="1" ht="12.2" customHeight="1">
      <c r="A22" s="178" t="s">
        <v>38</v>
      </c>
      <c r="B22" s="150"/>
      <c r="C22" s="75">
        <v>161</v>
      </c>
      <c r="D22" s="75">
        <v>163</v>
      </c>
      <c r="E22" s="75">
        <f>3980</f>
        <v>3980</v>
      </c>
      <c r="F22" s="75">
        <v>3944</v>
      </c>
      <c r="G22" s="75">
        <v>4198</v>
      </c>
      <c r="H22" s="75">
        <v>4317</v>
      </c>
      <c r="I22" s="75">
        <v>3464</v>
      </c>
      <c r="J22" s="75">
        <v>3309</v>
      </c>
      <c r="K22" s="75">
        <v>3102</v>
      </c>
      <c r="L22" s="75">
        <v>3694</v>
      </c>
      <c r="M22" s="75">
        <v>4388</v>
      </c>
      <c r="N22" s="75">
        <v>8956</v>
      </c>
      <c r="O22" s="150"/>
      <c r="P22" s="177" t="s">
        <v>39</v>
      </c>
      <c r="R22" s="17"/>
    </row>
    <row r="23" spans="1:26" s="6" customFormat="1" ht="12.2" customHeight="1">
      <c r="A23" s="175" t="s">
        <v>40</v>
      </c>
      <c r="B23" s="150"/>
      <c r="C23" s="75">
        <f t="shared" ref="C23:K23" si="4">C25</f>
        <v>51750</v>
      </c>
      <c r="D23" s="75">
        <f t="shared" si="4"/>
        <v>65409</v>
      </c>
      <c r="E23" s="75">
        <f t="shared" si="4"/>
        <v>57371</v>
      </c>
      <c r="F23" s="75">
        <f t="shared" si="4"/>
        <v>53488</v>
      </c>
      <c r="G23" s="75">
        <f t="shared" si="4"/>
        <v>65889</v>
      </c>
      <c r="H23" s="75">
        <f t="shared" si="4"/>
        <v>84209</v>
      </c>
      <c r="I23" s="75">
        <f t="shared" si="4"/>
        <v>119282</v>
      </c>
      <c r="J23" s="75">
        <f t="shared" si="4"/>
        <v>97620</v>
      </c>
      <c r="K23" s="75">
        <f t="shared" si="4"/>
        <v>73214</v>
      </c>
      <c r="L23" s="75">
        <v>96212</v>
      </c>
      <c r="M23" s="75">
        <f>M26-M18</f>
        <v>126570.79999999999</v>
      </c>
      <c r="N23" s="75">
        <f>N26-N18</f>
        <v>140220</v>
      </c>
      <c r="O23" s="150"/>
      <c r="P23" s="177" t="s">
        <v>41</v>
      </c>
      <c r="R23" s="62"/>
      <c r="S23" s="61"/>
    </row>
    <row r="24" spans="1:26" s="6" customFormat="1" ht="12.2" customHeight="1">
      <c r="A24" s="175" t="s">
        <v>42</v>
      </c>
      <c r="B24" s="150"/>
      <c r="C24" s="183"/>
      <c r="D24" s="183"/>
      <c r="E24" s="183"/>
      <c r="F24" s="183"/>
      <c r="G24" s="183"/>
      <c r="H24" s="191" t="s">
        <v>61</v>
      </c>
      <c r="I24" s="191" t="s">
        <v>61</v>
      </c>
      <c r="J24" s="191" t="s">
        <v>61</v>
      </c>
      <c r="K24" s="191" t="s">
        <v>61</v>
      </c>
      <c r="L24" s="191" t="s">
        <v>61</v>
      </c>
      <c r="M24" s="191" t="s">
        <v>61</v>
      </c>
      <c r="N24" s="191" t="s">
        <v>61</v>
      </c>
      <c r="O24" s="150"/>
      <c r="P24" s="176" t="s">
        <v>43</v>
      </c>
      <c r="R24" s="17"/>
    </row>
    <row r="25" spans="1:26" s="6" customFormat="1" ht="12.2" customHeight="1">
      <c r="A25" s="175" t="s">
        <v>38</v>
      </c>
      <c r="B25" s="150"/>
      <c r="C25" s="75">
        <f>109236-C18</f>
        <v>51750</v>
      </c>
      <c r="D25" s="75">
        <f>130202-D18</f>
        <v>65409</v>
      </c>
      <c r="E25" s="75">
        <f>133130-E18</f>
        <v>57371</v>
      </c>
      <c r="F25" s="75">
        <v>53488</v>
      </c>
      <c r="G25" s="75">
        <v>65889</v>
      </c>
      <c r="H25" s="75">
        <v>84209</v>
      </c>
      <c r="I25" s="75">
        <v>119282</v>
      </c>
      <c r="J25" s="75">
        <v>97620</v>
      </c>
      <c r="K25" s="75">
        <v>73214</v>
      </c>
      <c r="L25" s="75">
        <v>96212</v>
      </c>
      <c r="M25" s="194">
        <f>M23</f>
        <v>126570.79999999999</v>
      </c>
      <c r="N25" s="194">
        <f>N23</f>
        <v>140220</v>
      </c>
      <c r="O25" s="150"/>
      <c r="P25" s="179" t="s">
        <v>39</v>
      </c>
    </row>
    <row r="26" spans="1:26" s="6" customFormat="1" ht="12.2" customHeight="1">
      <c r="A26" s="175" t="s">
        <v>44</v>
      </c>
      <c r="B26" s="150"/>
      <c r="C26" s="75">
        <f t="shared" ref="C26:I26" si="5">C18+C23</f>
        <v>109236</v>
      </c>
      <c r="D26" s="75">
        <f t="shared" si="5"/>
        <v>130202</v>
      </c>
      <c r="E26" s="75">
        <f t="shared" si="5"/>
        <v>133130</v>
      </c>
      <c r="F26" s="75">
        <f t="shared" si="5"/>
        <v>151267</v>
      </c>
      <c r="G26" s="75">
        <f t="shared" si="5"/>
        <v>180216</v>
      </c>
      <c r="H26" s="75">
        <f t="shared" si="5"/>
        <v>221404</v>
      </c>
      <c r="I26" s="75">
        <f t="shared" si="5"/>
        <v>282505</v>
      </c>
      <c r="J26" s="75">
        <f>J18+J23</f>
        <v>268114</v>
      </c>
      <c r="K26" s="75">
        <v>265286</v>
      </c>
      <c r="L26" s="75">
        <v>303622</v>
      </c>
      <c r="M26" s="150">
        <v>393475.8</v>
      </c>
      <c r="N26" s="75">
        <v>497145</v>
      </c>
      <c r="O26" s="150"/>
      <c r="P26" s="176" t="s">
        <v>45</v>
      </c>
      <c r="R26" s="77"/>
    </row>
    <row r="27" spans="1:26" s="6" customFormat="1" ht="20.100000000000001" customHeight="1">
      <c r="A27" s="188" t="s">
        <v>85</v>
      </c>
      <c r="B27" s="188" t="s">
        <v>144</v>
      </c>
      <c r="C27" s="19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 t="s">
        <v>145</v>
      </c>
      <c r="P27" s="189" t="s">
        <v>86</v>
      </c>
    </row>
    <row r="28" spans="1:26" s="6" customFormat="1" ht="12.2" customHeight="1">
      <c r="A28" s="175" t="s">
        <v>32</v>
      </c>
      <c r="B28" s="150"/>
      <c r="C28" s="190"/>
      <c r="D28" s="183" t="s">
        <v>61</v>
      </c>
      <c r="E28" s="75">
        <f>E29+E30+E32</f>
        <v>159644</v>
      </c>
      <c r="F28" s="75">
        <f>F29+F30+F32</f>
        <v>495282</v>
      </c>
      <c r="G28" s="75">
        <f>G29+G30+G32</f>
        <v>593887</v>
      </c>
      <c r="H28" s="75">
        <f>H29+H30+H31+H32</f>
        <v>1228336</v>
      </c>
      <c r="I28" s="75">
        <v>985837</v>
      </c>
      <c r="J28" s="75">
        <v>3334809</v>
      </c>
      <c r="K28" s="75">
        <v>1310000</v>
      </c>
      <c r="L28" s="75">
        <v>1408000</v>
      </c>
      <c r="M28" s="75">
        <v>2633000</v>
      </c>
      <c r="N28" s="75">
        <v>2876856</v>
      </c>
      <c r="O28" s="150"/>
      <c r="P28" s="176" t="s">
        <v>33</v>
      </c>
    </row>
    <row r="29" spans="1:26" s="6" customFormat="1" ht="12.2" customHeight="1">
      <c r="A29" s="175" t="s">
        <v>121</v>
      </c>
      <c r="B29" s="150"/>
      <c r="C29" s="192"/>
      <c r="D29" s="183" t="s">
        <v>61</v>
      </c>
      <c r="E29" s="75">
        <v>78375</v>
      </c>
      <c r="F29" s="75">
        <v>206981</v>
      </c>
      <c r="G29" s="75">
        <v>353560</v>
      </c>
      <c r="H29" s="75">
        <v>565763</v>
      </c>
      <c r="I29" s="75" t="s">
        <v>61</v>
      </c>
      <c r="J29" s="75" t="s">
        <v>61</v>
      </c>
      <c r="K29" s="75" t="s">
        <v>61</v>
      </c>
      <c r="L29" s="75" t="s">
        <v>61</v>
      </c>
      <c r="M29" s="75" t="s">
        <v>61</v>
      </c>
      <c r="N29" s="75" t="s">
        <v>61</v>
      </c>
      <c r="O29" s="150"/>
      <c r="P29" s="177" t="s">
        <v>120</v>
      </c>
      <c r="R29" s="17"/>
    </row>
    <row r="30" spans="1:26" s="6" customFormat="1" ht="12.2" customHeight="1">
      <c r="A30" s="175" t="s">
        <v>34</v>
      </c>
      <c r="B30" s="150"/>
      <c r="C30" s="190"/>
      <c r="D30" s="183" t="s">
        <v>61</v>
      </c>
      <c r="E30" s="75">
        <v>81269</v>
      </c>
      <c r="F30" s="75">
        <v>288301</v>
      </c>
      <c r="G30" s="75">
        <v>240327</v>
      </c>
      <c r="H30" s="75">
        <v>433497</v>
      </c>
      <c r="I30" s="75" t="s">
        <v>61</v>
      </c>
      <c r="J30" s="75" t="s">
        <v>61</v>
      </c>
      <c r="K30" s="75" t="s">
        <v>61</v>
      </c>
      <c r="L30" s="75" t="s">
        <v>61</v>
      </c>
      <c r="M30" s="75" t="s">
        <v>61</v>
      </c>
      <c r="N30" s="75" t="s">
        <v>61</v>
      </c>
      <c r="O30" s="150"/>
      <c r="P30" s="177" t="s">
        <v>35</v>
      </c>
      <c r="R30" s="17"/>
    </row>
    <row r="31" spans="1:26" s="6" customFormat="1" ht="12.2" customHeight="1">
      <c r="A31" s="178" t="s">
        <v>36</v>
      </c>
      <c r="B31" s="150"/>
      <c r="C31" s="190"/>
      <c r="D31" s="183" t="s">
        <v>61</v>
      </c>
      <c r="E31" s="75" t="s">
        <v>61</v>
      </c>
      <c r="F31" s="75" t="s">
        <v>61</v>
      </c>
      <c r="G31" s="75" t="s">
        <v>61</v>
      </c>
      <c r="H31" s="75">
        <v>229076</v>
      </c>
      <c r="I31" s="75" t="s">
        <v>61</v>
      </c>
      <c r="J31" s="75" t="s">
        <v>61</v>
      </c>
      <c r="K31" s="75" t="s">
        <v>61</v>
      </c>
      <c r="L31" s="75" t="s">
        <v>61</v>
      </c>
      <c r="M31" s="75" t="s">
        <v>61</v>
      </c>
      <c r="N31" s="75" t="s">
        <v>61</v>
      </c>
      <c r="O31" s="150"/>
      <c r="P31" s="179" t="s">
        <v>37</v>
      </c>
      <c r="R31" s="17"/>
    </row>
    <row r="32" spans="1:26" s="6" customFormat="1" ht="12.2" customHeight="1">
      <c r="A32" s="178" t="s">
        <v>38</v>
      </c>
      <c r="B32" s="150"/>
      <c r="C32" s="190"/>
      <c r="D32" s="183" t="s">
        <v>61</v>
      </c>
      <c r="E32" s="159">
        <v>0</v>
      </c>
      <c r="F32" s="159">
        <v>0</v>
      </c>
      <c r="G32" s="159">
        <v>0</v>
      </c>
      <c r="H32" s="159">
        <v>0</v>
      </c>
      <c r="I32" s="75" t="s">
        <v>61</v>
      </c>
      <c r="J32" s="75" t="s">
        <v>61</v>
      </c>
      <c r="K32" s="75" t="s">
        <v>61</v>
      </c>
      <c r="L32" s="75" t="s">
        <v>61</v>
      </c>
      <c r="M32" s="75" t="s">
        <v>61</v>
      </c>
      <c r="N32" s="75" t="s">
        <v>61</v>
      </c>
      <c r="O32" s="150"/>
      <c r="P32" s="177" t="s">
        <v>39</v>
      </c>
      <c r="Q32" s="42"/>
      <c r="R32" s="51"/>
    </row>
    <row r="33" spans="1:18" s="6" customFormat="1" ht="12.2" customHeight="1">
      <c r="A33" s="175" t="s">
        <v>40</v>
      </c>
      <c r="B33" s="150"/>
      <c r="C33" s="171"/>
      <c r="D33" s="183" t="s">
        <v>61</v>
      </c>
      <c r="E33" s="75">
        <v>32823095</v>
      </c>
      <c r="F33" s="75">
        <v>40007608</v>
      </c>
      <c r="G33" s="75">
        <v>48469474</v>
      </c>
      <c r="H33" s="75">
        <v>50818362</v>
      </c>
      <c r="I33" s="75">
        <f>I36-I28</f>
        <v>79266345</v>
      </c>
      <c r="J33" s="75">
        <f>J36-J28</f>
        <v>51874544</v>
      </c>
      <c r="K33" s="75">
        <f>K36-K28</f>
        <v>68868223</v>
      </c>
      <c r="L33" s="75">
        <f>L36-L28</f>
        <v>107399392</v>
      </c>
      <c r="M33" s="75">
        <f>M36-M28</f>
        <v>116833000</v>
      </c>
      <c r="N33" s="75" t="s">
        <v>61</v>
      </c>
      <c r="O33" s="150"/>
      <c r="P33" s="177" t="s">
        <v>41</v>
      </c>
      <c r="R33" s="17"/>
    </row>
    <row r="34" spans="1:18" s="6" customFormat="1" ht="12.2" customHeight="1">
      <c r="A34" s="175" t="s">
        <v>42</v>
      </c>
      <c r="B34" s="150"/>
      <c r="C34" s="171"/>
      <c r="D34" s="183" t="s">
        <v>61</v>
      </c>
      <c r="E34" s="183" t="s">
        <v>61</v>
      </c>
      <c r="F34" s="183" t="s">
        <v>61</v>
      </c>
      <c r="G34" s="183" t="s">
        <v>61</v>
      </c>
      <c r="H34" s="183" t="s">
        <v>61</v>
      </c>
      <c r="I34" s="75" t="s">
        <v>61</v>
      </c>
      <c r="J34" s="75" t="s">
        <v>61</v>
      </c>
      <c r="K34" s="75">
        <v>59794000</v>
      </c>
      <c r="L34" s="75">
        <v>107271000</v>
      </c>
      <c r="M34" s="75">
        <v>116597000</v>
      </c>
      <c r="N34" s="75" t="s">
        <v>61</v>
      </c>
      <c r="O34" s="150"/>
      <c r="P34" s="176" t="s">
        <v>43</v>
      </c>
      <c r="R34" s="17"/>
    </row>
    <row r="35" spans="1:18" s="6" customFormat="1" ht="12.2" customHeight="1">
      <c r="A35" s="175" t="s">
        <v>38</v>
      </c>
      <c r="B35" s="150"/>
      <c r="C35" s="171"/>
      <c r="D35" s="183" t="s">
        <v>61</v>
      </c>
      <c r="E35" s="183" t="s">
        <v>61</v>
      </c>
      <c r="F35" s="183" t="s">
        <v>61</v>
      </c>
      <c r="G35" s="183" t="s">
        <v>61</v>
      </c>
      <c r="H35" s="183" t="s">
        <v>61</v>
      </c>
      <c r="I35" s="75" t="s">
        <v>61</v>
      </c>
      <c r="J35" s="75" t="s">
        <v>61</v>
      </c>
      <c r="K35" s="75">
        <f>K33-K34</f>
        <v>9074223</v>
      </c>
      <c r="L35" s="75">
        <f t="shared" ref="L35:M35" si="6">L33-L34</f>
        <v>128392</v>
      </c>
      <c r="M35" s="75">
        <f t="shared" si="6"/>
        <v>236000</v>
      </c>
      <c r="N35" s="75" t="s">
        <v>61</v>
      </c>
      <c r="O35" s="150"/>
      <c r="P35" s="179" t="s">
        <v>39</v>
      </c>
      <c r="R35" s="17"/>
    </row>
    <row r="36" spans="1:18" s="6" customFormat="1" ht="12.2" customHeight="1">
      <c r="A36" s="175" t="s">
        <v>44</v>
      </c>
      <c r="B36" s="150"/>
      <c r="C36" s="171"/>
      <c r="D36" s="183" t="s">
        <v>61</v>
      </c>
      <c r="E36" s="75">
        <f>E28+E33</f>
        <v>32982739</v>
      </c>
      <c r="F36" s="75">
        <f>F28+F33</f>
        <v>40502890</v>
      </c>
      <c r="G36" s="75">
        <f>G28+G33</f>
        <v>49063361</v>
      </c>
      <c r="H36" s="75">
        <v>54599451</v>
      </c>
      <c r="I36" s="75">
        <v>80252182</v>
      </c>
      <c r="J36" s="75">
        <v>55209353</v>
      </c>
      <c r="K36" s="75">
        <v>70178223</v>
      </c>
      <c r="L36" s="75">
        <v>108807392</v>
      </c>
      <c r="M36" s="75">
        <v>119466000</v>
      </c>
      <c r="N36" s="75">
        <v>113767395</v>
      </c>
      <c r="O36" s="150"/>
      <c r="P36" s="176" t="s">
        <v>45</v>
      </c>
      <c r="R36" s="17"/>
    </row>
    <row r="37" spans="1:18" s="6" customFormat="1" ht="20.100000000000001" customHeight="1">
      <c r="A37" s="188" t="s">
        <v>10</v>
      </c>
      <c r="B37" s="188" t="s">
        <v>148</v>
      </c>
      <c r="C37" s="19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 t="s">
        <v>145</v>
      </c>
      <c r="P37" s="189" t="s">
        <v>286</v>
      </c>
      <c r="R37" s="17"/>
    </row>
    <row r="38" spans="1:18" s="6" customFormat="1" ht="12.2" customHeight="1">
      <c r="A38" s="175" t="s">
        <v>32</v>
      </c>
      <c r="B38" s="150"/>
      <c r="C38" s="190"/>
      <c r="D38" s="75">
        <f t="shared" ref="D38:K38" si="7">D39+D40+D41+D42</f>
        <v>1083.2</v>
      </c>
      <c r="E38" s="75">
        <f t="shared" si="7"/>
        <v>1428.8000000000002</v>
      </c>
      <c r="F38" s="75">
        <f t="shared" si="7"/>
        <v>1765.8</v>
      </c>
      <c r="G38" s="75">
        <f t="shared" si="7"/>
        <v>2133.5</v>
      </c>
      <c r="H38" s="75">
        <f t="shared" si="7"/>
        <v>2490.3000000000002</v>
      </c>
      <c r="I38" s="75">
        <f>2758.1</f>
        <v>2758.1</v>
      </c>
      <c r="J38" s="75">
        <f t="shared" si="7"/>
        <v>2879.7000000000003</v>
      </c>
      <c r="K38" s="75">
        <f t="shared" si="7"/>
        <v>2986</v>
      </c>
      <c r="L38" s="75">
        <v>3062</v>
      </c>
      <c r="M38" s="75">
        <v>3351.4</v>
      </c>
      <c r="N38" s="75">
        <v>3770</v>
      </c>
      <c r="O38" s="150"/>
      <c r="P38" s="176" t="s">
        <v>33</v>
      </c>
      <c r="R38" s="17"/>
    </row>
    <row r="39" spans="1:18" s="6" customFormat="1" ht="12.2" customHeight="1">
      <c r="A39" s="175" t="s">
        <v>121</v>
      </c>
      <c r="B39" s="150"/>
      <c r="C39" s="192"/>
      <c r="D39" s="75">
        <v>191</v>
      </c>
      <c r="E39" s="75">
        <v>217.9</v>
      </c>
      <c r="F39" s="75">
        <v>283.7</v>
      </c>
      <c r="G39" s="75">
        <v>411.4</v>
      </c>
      <c r="H39" s="75">
        <v>494.9</v>
      </c>
      <c r="I39" s="75">
        <v>603.4</v>
      </c>
      <c r="J39" s="75">
        <v>764.6</v>
      </c>
      <c r="K39" s="75">
        <v>624.6</v>
      </c>
      <c r="L39" s="75">
        <v>667.3</v>
      </c>
      <c r="M39" s="75">
        <v>688.3</v>
      </c>
      <c r="N39" s="75">
        <v>765</v>
      </c>
      <c r="O39" s="150"/>
      <c r="P39" s="177" t="s">
        <v>120</v>
      </c>
      <c r="R39" s="17"/>
    </row>
    <row r="40" spans="1:18" s="6" customFormat="1" ht="12.2" customHeight="1">
      <c r="A40" s="175" t="s">
        <v>34</v>
      </c>
      <c r="B40" s="150"/>
      <c r="C40" s="190"/>
      <c r="D40" s="75">
        <v>603.4</v>
      </c>
      <c r="E40" s="75">
        <v>844.7</v>
      </c>
      <c r="F40" s="75">
        <v>1034.8</v>
      </c>
      <c r="G40" s="75">
        <v>1238.8</v>
      </c>
      <c r="H40" s="75">
        <v>1479.8</v>
      </c>
      <c r="I40" s="75">
        <v>1690.5</v>
      </c>
      <c r="J40" s="75">
        <v>1698.2</v>
      </c>
      <c r="K40" s="75">
        <v>1997.8</v>
      </c>
      <c r="L40" s="75">
        <v>2033</v>
      </c>
      <c r="M40" s="75">
        <v>2274.6999999999998</v>
      </c>
      <c r="N40" s="75">
        <v>2610</v>
      </c>
      <c r="O40" s="150"/>
      <c r="P40" s="177" t="s">
        <v>35</v>
      </c>
      <c r="R40" s="86"/>
    </row>
    <row r="41" spans="1:18" s="6" customFormat="1" ht="12.2" customHeight="1">
      <c r="A41" s="178" t="s">
        <v>36</v>
      </c>
      <c r="B41" s="150"/>
      <c r="C41" s="190"/>
      <c r="D41" s="75">
        <v>232.9</v>
      </c>
      <c r="E41" s="75">
        <v>294.10000000000002</v>
      </c>
      <c r="F41" s="75">
        <v>334</v>
      </c>
      <c r="G41" s="75">
        <v>345.7</v>
      </c>
      <c r="H41" s="75">
        <v>351.3</v>
      </c>
      <c r="I41" s="75">
        <v>306.89999999999998</v>
      </c>
      <c r="J41" s="75">
        <v>290.3</v>
      </c>
      <c r="K41" s="75">
        <v>285.60000000000002</v>
      </c>
      <c r="L41" s="75">
        <v>286.89999999999998</v>
      </c>
      <c r="M41" s="75">
        <v>285.60000000000002</v>
      </c>
      <c r="N41" s="75">
        <v>285</v>
      </c>
      <c r="O41" s="150"/>
      <c r="P41" s="179" t="s">
        <v>37</v>
      </c>
      <c r="R41" s="17"/>
    </row>
    <row r="42" spans="1:18" s="6" customFormat="1" ht="12.2" customHeight="1">
      <c r="A42" s="178" t="s">
        <v>38</v>
      </c>
      <c r="B42" s="150"/>
      <c r="C42" s="190"/>
      <c r="D42" s="75">
        <v>55.900000000000063</v>
      </c>
      <c r="E42" s="75">
        <v>72.099999999999795</v>
      </c>
      <c r="F42" s="75">
        <v>113.3</v>
      </c>
      <c r="G42" s="75">
        <v>137.6</v>
      </c>
      <c r="H42" s="75">
        <f>146.1+18.2</f>
        <v>164.29999999999998</v>
      </c>
      <c r="I42" s="75">
        <f>103.6+53.6</f>
        <v>157.19999999999999</v>
      </c>
      <c r="J42" s="75">
        <v>126.6</v>
      </c>
      <c r="K42" s="75">
        <v>78</v>
      </c>
      <c r="L42" s="75">
        <v>74.599999999999994</v>
      </c>
      <c r="M42" s="75">
        <v>102.8</v>
      </c>
      <c r="N42" s="75">
        <v>110</v>
      </c>
      <c r="O42" s="150"/>
      <c r="P42" s="177" t="s">
        <v>39</v>
      </c>
      <c r="R42" s="17"/>
    </row>
    <row r="43" spans="1:18" s="6" customFormat="1" ht="12.2" customHeight="1">
      <c r="A43" s="175" t="s">
        <v>40</v>
      </c>
      <c r="B43" s="150"/>
      <c r="C43" s="171"/>
      <c r="D43" s="75">
        <v>573.5</v>
      </c>
      <c r="E43" s="75">
        <v>700.1</v>
      </c>
      <c r="F43" s="75">
        <v>777.9</v>
      </c>
      <c r="G43" s="75">
        <v>1013.8</v>
      </c>
      <c r="H43" s="75">
        <v>1137.8</v>
      </c>
      <c r="I43" s="75">
        <f>1596.1+21.2</f>
        <v>1617.3</v>
      </c>
      <c r="J43" s="75">
        <f>1287.4+20.5</f>
        <v>1307.9000000000001</v>
      </c>
      <c r="K43" s="75">
        <f>1254.4+20.7</f>
        <v>1275.1000000000001</v>
      </c>
      <c r="L43" s="75">
        <v>1137</v>
      </c>
      <c r="M43" s="75">
        <f>24.3+1351.2</f>
        <v>1375.5</v>
      </c>
      <c r="N43" s="75">
        <f>24+1502</f>
        <v>1526</v>
      </c>
      <c r="O43" s="150"/>
      <c r="P43" s="177" t="s">
        <v>41</v>
      </c>
      <c r="R43" s="17"/>
    </row>
    <row r="44" spans="1:18" s="6" customFormat="1" ht="12.2" customHeight="1">
      <c r="A44" s="175" t="s">
        <v>42</v>
      </c>
      <c r="B44" s="150"/>
      <c r="C44" s="171"/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 t="s">
        <v>141</v>
      </c>
      <c r="O44" s="150"/>
      <c r="P44" s="176" t="s">
        <v>43</v>
      </c>
      <c r="R44" s="17"/>
    </row>
    <row r="45" spans="1:18" s="6" customFormat="1" ht="12.2" customHeight="1">
      <c r="A45" s="175" t="s">
        <v>38</v>
      </c>
      <c r="B45" s="150"/>
      <c r="C45" s="171"/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 t="s">
        <v>141</v>
      </c>
      <c r="O45" s="150"/>
      <c r="P45" s="179" t="s">
        <v>39</v>
      </c>
      <c r="R45" s="17"/>
    </row>
    <row r="46" spans="1:18" s="6" customFormat="1" ht="12.2" customHeight="1">
      <c r="A46" s="175" t="s">
        <v>44</v>
      </c>
      <c r="B46" s="150"/>
      <c r="C46" s="171"/>
      <c r="D46" s="75">
        <f t="shared" ref="D46:J46" si="8">D38+D43</f>
        <v>1656.7</v>
      </c>
      <c r="E46" s="75">
        <f t="shared" si="8"/>
        <v>2128.9</v>
      </c>
      <c r="F46" s="75">
        <f t="shared" si="8"/>
        <v>2543.6999999999998</v>
      </c>
      <c r="G46" s="75">
        <f t="shared" si="8"/>
        <v>3147.3</v>
      </c>
      <c r="H46" s="75">
        <f t="shared" si="8"/>
        <v>3628.1000000000004</v>
      </c>
      <c r="I46" s="75">
        <f t="shared" si="8"/>
        <v>4375.3999999999996</v>
      </c>
      <c r="J46" s="75">
        <f t="shared" si="8"/>
        <v>4187.6000000000004</v>
      </c>
      <c r="K46" s="75">
        <f>K38+K43</f>
        <v>4261.1000000000004</v>
      </c>
      <c r="L46" s="75">
        <f>L38+L43</f>
        <v>4199</v>
      </c>
      <c r="M46" s="75">
        <f>M38+M43</f>
        <v>4726.8999999999996</v>
      </c>
      <c r="N46" s="75">
        <f>N38+N43</f>
        <v>5296</v>
      </c>
      <c r="O46" s="150"/>
      <c r="P46" s="179" t="s">
        <v>45</v>
      </c>
      <c r="R46" s="17"/>
    </row>
    <row r="47" spans="1:18" s="6" customFormat="1" ht="20.100000000000001" customHeight="1">
      <c r="A47" s="188" t="s">
        <v>287</v>
      </c>
      <c r="B47" s="188" t="s">
        <v>148</v>
      </c>
      <c r="C47" s="19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 t="s">
        <v>145</v>
      </c>
      <c r="P47" s="189" t="s">
        <v>288</v>
      </c>
    </row>
    <row r="48" spans="1:18" s="6" customFormat="1" ht="12.2" customHeight="1">
      <c r="A48" s="175" t="s">
        <v>32</v>
      </c>
      <c r="B48" s="150"/>
      <c r="C48" s="183">
        <f t="shared" ref="C48:H48" si="9">C49+C50+C51+C52</f>
        <v>226.31</v>
      </c>
      <c r="D48" s="183">
        <f t="shared" si="9"/>
        <v>275.77000000000004</v>
      </c>
      <c r="E48" s="183">
        <f t="shared" si="9"/>
        <v>305.48</v>
      </c>
      <c r="F48" s="183">
        <f t="shared" si="9"/>
        <v>344.34999999999997</v>
      </c>
      <c r="G48" s="183">
        <f t="shared" si="9"/>
        <v>342.5</v>
      </c>
      <c r="H48" s="183">
        <f t="shared" si="9"/>
        <v>425.94</v>
      </c>
      <c r="I48" s="183">
        <v>419</v>
      </c>
      <c r="J48" s="183">
        <v>367</v>
      </c>
      <c r="K48" s="183">
        <v>392</v>
      </c>
      <c r="L48" s="183">
        <v>406</v>
      </c>
      <c r="M48" s="183">
        <v>432.6</v>
      </c>
      <c r="N48" s="75" t="s">
        <v>61</v>
      </c>
      <c r="O48" s="150"/>
      <c r="P48" s="176" t="s">
        <v>33</v>
      </c>
      <c r="R48" s="17"/>
    </row>
    <row r="49" spans="1:18" s="6" customFormat="1" ht="12.2" customHeight="1">
      <c r="A49" s="175" t="s">
        <v>121</v>
      </c>
      <c r="B49" s="150"/>
      <c r="C49" s="183">
        <v>29.27</v>
      </c>
      <c r="D49" s="183">
        <v>47.56</v>
      </c>
      <c r="E49" s="183">
        <v>57.13</v>
      </c>
      <c r="F49" s="183">
        <v>75.86</v>
      </c>
      <c r="G49" s="183">
        <v>105.1</v>
      </c>
      <c r="H49" s="183">
        <v>129.84</v>
      </c>
      <c r="I49" s="183">
        <v>132</v>
      </c>
      <c r="J49" s="183">
        <v>103.6</v>
      </c>
      <c r="K49" s="183">
        <v>99</v>
      </c>
      <c r="L49" s="183">
        <v>101</v>
      </c>
      <c r="M49" s="195">
        <f>M48-M50-M51-M52</f>
        <v>89.530000000000058</v>
      </c>
      <c r="N49" s="75" t="s">
        <v>61</v>
      </c>
      <c r="O49" s="150"/>
      <c r="P49" s="177" t="s">
        <v>120</v>
      </c>
      <c r="R49" s="17"/>
    </row>
    <row r="50" spans="1:18" s="6" customFormat="1" ht="12.2" customHeight="1">
      <c r="A50" s="175" t="s">
        <v>34</v>
      </c>
      <c r="B50" s="150"/>
      <c r="C50" s="183">
        <v>1.87</v>
      </c>
      <c r="D50" s="183">
        <v>1.64</v>
      </c>
      <c r="E50" s="183">
        <v>2.15</v>
      </c>
      <c r="F50" s="183">
        <v>1.96</v>
      </c>
      <c r="G50" s="183">
        <v>2.2999999999999998</v>
      </c>
      <c r="H50" s="183">
        <v>2.1</v>
      </c>
      <c r="I50" s="183">
        <v>1.4</v>
      </c>
      <c r="J50" s="183">
        <v>1.92</v>
      </c>
      <c r="K50" s="183">
        <v>2.83</v>
      </c>
      <c r="L50" s="183">
        <v>2.48</v>
      </c>
      <c r="M50" s="183">
        <v>2.27</v>
      </c>
      <c r="N50" s="75" t="s">
        <v>61</v>
      </c>
      <c r="O50" s="150"/>
      <c r="P50" s="177" t="s">
        <v>35</v>
      </c>
      <c r="R50" s="17"/>
    </row>
    <row r="51" spans="1:18" s="6" customFormat="1" ht="12.2" customHeight="1">
      <c r="A51" s="178" t="s">
        <v>36</v>
      </c>
      <c r="B51" s="150"/>
      <c r="C51" s="183">
        <v>135.12</v>
      </c>
      <c r="D51" s="183">
        <v>161.52000000000001</v>
      </c>
      <c r="E51" s="183">
        <v>173.59</v>
      </c>
      <c r="F51" s="183">
        <v>186.82</v>
      </c>
      <c r="G51" s="183">
        <v>216</v>
      </c>
      <c r="H51" s="183">
        <v>224</v>
      </c>
      <c r="I51" s="183">
        <v>215</v>
      </c>
      <c r="J51" s="183">
        <v>191</v>
      </c>
      <c r="K51" s="183">
        <v>218.38</v>
      </c>
      <c r="L51" s="183">
        <v>223</v>
      </c>
      <c r="M51" s="183">
        <v>258.89999999999998</v>
      </c>
      <c r="N51" s="75" t="s">
        <v>61</v>
      </c>
      <c r="O51" s="150"/>
      <c r="P51" s="179" t="s">
        <v>37</v>
      </c>
      <c r="R51" s="17"/>
    </row>
    <row r="52" spans="1:18" s="6" customFormat="1" ht="12.2" customHeight="1">
      <c r="A52" s="178" t="s">
        <v>38</v>
      </c>
      <c r="B52" s="150"/>
      <c r="C52" s="183">
        <v>60.05</v>
      </c>
      <c r="D52" s="183">
        <v>65.05</v>
      </c>
      <c r="E52" s="183">
        <v>72.61</v>
      </c>
      <c r="F52" s="183">
        <v>79.709999999999994</v>
      </c>
      <c r="G52" s="183">
        <v>19.100000000000001</v>
      </c>
      <c r="H52" s="183">
        <v>70</v>
      </c>
      <c r="I52" s="183">
        <v>70</v>
      </c>
      <c r="J52" s="183">
        <v>70</v>
      </c>
      <c r="K52" s="183">
        <v>72</v>
      </c>
      <c r="L52" s="183">
        <v>80</v>
      </c>
      <c r="M52" s="183">
        <v>81.900000000000006</v>
      </c>
      <c r="N52" s="75" t="s">
        <v>61</v>
      </c>
      <c r="O52" s="150"/>
      <c r="P52" s="177" t="s">
        <v>39</v>
      </c>
      <c r="R52" s="17"/>
    </row>
    <row r="53" spans="1:18" s="6" customFormat="1" ht="12.2" customHeight="1">
      <c r="A53" s="175" t="s">
        <v>40</v>
      </c>
      <c r="B53" s="150"/>
      <c r="C53" s="75">
        <f t="shared" ref="C53:G53" si="10">C54+C55</f>
        <v>7901.0999999999995</v>
      </c>
      <c r="D53" s="75">
        <f t="shared" si="10"/>
        <v>9901.26</v>
      </c>
      <c r="E53" s="75">
        <f t="shared" si="10"/>
        <v>14661.54</v>
      </c>
      <c r="F53" s="75">
        <f t="shared" si="10"/>
        <v>17180.710000000003</v>
      </c>
      <c r="G53" s="75">
        <f t="shared" si="10"/>
        <v>16584.900000000001</v>
      </c>
      <c r="H53" s="75">
        <v>20908</v>
      </c>
      <c r="I53" s="75">
        <v>22604</v>
      </c>
      <c r="J53" s="75">
        <v>19301</v>
      </c>
      <c r="K53" s="75">
        <v>22988</v>
      </c>
      <c r="L53" s="75">
        <v>31811</v>
      </c>
      <c r="M53" s="194">
        <f>M54+M55</f>
        <v>35008.400000000001</v>
      </c>
      <c r="N53" s="75" t="s">
        <v>61</v>
      </c>
      <c r="O53" s="150"/>
      <c r="P53" s="177" t="s">
        <v>41</v>
      </c>
      <c r="R53" s="86"/>
    </row>
    <row r="54" spans="1:18" s="6" customFormat="1" ht="12.2" customHeight="1">
      <c r="A54" s="175" t="s">
        <v>42</v>
      </c>
      <c r="B54" s="150"/>
      <c r="C54" s="75">
        <v>7458.86</v>
      </c>
      <c r="D54" s="75">
        <v>9526.19</v>
      </c>
      <c r="E54" s="75">
        <v>14310.87</v>
      </c>
      <c r="F54" s="75">
        <v>16661.88</v>
      </c>
      <c r="G54" s="75">
        <v>15748.2</v>
      </c>
      <c r="H54" s="75">
        <v>17719</v>
      </c>
      <c r="I54" s="75">
        <v>19711</v>
      </c>
      <c r="J54" s="75">
        <v>16585</v>
      </c>
      <c r="K54" s="75">
        <v>19947</v>
      </c>
      <c r="L54" s="75">
        <v>28569</v>
      </c>
      <c r="M54" s="75">
        <v>29969.599999999999</v>
      </c>
      <c r="N54" s="75" t="s">
        <v>61</v>
      </c>
      <c r="O54" s="150"/>
      <c r="P54" s="176" t="s">
        <v>43</v>
      </c>
      <c r="R54" s="17"/>
    </row>
    <row r="55" spans="1:18" s="6" customFormat="1" ht="12.2" customHeight="1">
      <c r="A55" s="175" t="s">
        <v>38</v>
      </c>
      <c r="B55" s="150"/>
      <c r="C55" s="75">
        <v>442.24</v>
      </c>
      <c r="D55" s="75">
        <v>375.07</v>
      </c>
      <c r="E55" s="75">
        <v>350.67</v>
      </c>
      <c r="F55" s="75">
        <v>518.83000000000004</v>
      </c>
      <c r="G55" s="75">
        <v>836.7</v>
      </c>
      <c r="H55" s="75">
        <f>H53-H54</f>
        <v>3189</v>
      </c>
      <c r="I55" s="75">
        <f t="shared" ref="I55:L55" si="11">I53-I54</f>
        <v>2893</v>
      </c>
      <c r="J55" s="75">
        <f t="shared" si="11"/>
        <v>2716</v>
      </c>
      <c r="K55" s="75">
        <f t="shared" si="11"/>
        <v>3041</v>
      </c>
      <c r="L55" s="75">
        <f t="shared" si="11"/>
        <v>3242</v>
      </c>
      <c r="M55" s="75">
        <v>5038.8</v>
      </c>
      <c r="N55" s="75" t="s">
        <v>61</v>
      </c>
      <c r="O55" s="150"/>
      <c r="P55" s="179" t="s">
        <v>39</v>
      </c>
      <c r="R55" s="17"/>
    </row>
    <row r="56" spans="1:18" s="6" customFormat="1" ht="12.2" customHeight="1">
      <c r="A56" s="175" t="s">
        <v>44</v>
      </c>
      <c r="B56" s="150"/>
      <c r="C56" s="75">
        <f t="shared" ref="C56:G56" si="12">C48+C53</f>
        <v>8127.41</v>
      </c>
      <c r="D56" s="75">
        <f t="shared" si="12"/>
        <v>10177.030000000001</v>
      </c>
      <c r="E56" s="75">
        <f t="shared" si="12"/>
        <v>14967.02</v>
      </c>
      <c r="F56" s="75">
        <f t="shared" si="12"/>
        <v>17525.060000000001</v>
      </c>
      <c r="G56" s="75">
        <f t="shared" si="12"/>
        <v>16927.400000000001</v>
      </c>
      <c r="H56" s="75">
        <v>21347</v>
      </c>
      <c r="I56" s="75">
        <v>23026</v>
      </c>
      <c r="J56" s="75">
        <v>19670</v>
      </c>
      <c r="K56" s="75">
        <v>23387</v>
      </c>
      <c r="L56" s="75">
        <v>32233</v>
      </c>
      <c r="M56" s="75">
        <v>35035</v>
      </c>
      <c r="N56" s="75" t="s">
        <v>61</v>
      </c>
      <c r="O56" s="150"/>
      <c r="P56" s="179" t="s">
        <v>45</v>
      </c>
      <c r="R56" s="17"/>
    </row>
    <row r="57" spans="1:18" s="6" customFormat="1" ht="20.100000000000001" customHeight="1">
      <c r="A57" s="188" t="s">
        <v>6</v>
      </c>
      <c r="B57" s="188" t="s">
        <v>149</v>
      </c>
      <c r="C57" s="19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 t="s">
        <v>150</v>
      </c>
      <c r="P57" s="189" t="s">
        <v>7</v>
      </c>
    </row>
    <row r="58" spans="1:18" s="6" customFormat="1" ht="12.2" customHeight="1">
      <c r="A58" s="175" t="s">
        <v>32</v>
      </c>
      <c r="B58" s="150"/>
      <c r="C58" s="190"/>
      <c r="D58" s="75">
        <f>SUM(D60:D62)</f>
        <v>3792.2</v>
      </c>
      <c r="E58" s="75">
        <f t="shared" ref="E58:J58" si="13">E59+E60+E61+E62</f>
        <v>5883.9</v>
      </c>
      <c r="F58" s="75">
        <f t="shared" si="13"/>
        <v>5307</v>
      </c>
      <c r="G58" s="75">
        <f t="shared" si="13"/>
        <v>4942</v>
      </c>
      <c r="H58" s="75">
        <f t="shared" si="13"/>
        <v>5582</v>
      </c>
      <c r="I58" s="75">
        <f t="shared" si="13"/>
        <v>7183</v>
      </c>
      <c r="J58" s="75">
        <f t="shared" si="13"/>
        <v>8968</v>
      </c>
      <c r="K58" s="75">
        <f>SUM(K59:K62)</f>
        <v>9976</v>
      </c>
      <c r="L58" s="75">
        <v>9885</v>
      </c>
      <c r="M58" s="75">
        <v>10187</v>
      </c>
      <c r="N58" s="75">
        <v>10116.120000000001</v>
      </c>
      <c r="O58" s="150"/>
      <c r="P58" s="176" t="s">
        <v>33</v>
      </c>
      <c r="R58" s="17"/>
    </row>
    <row r="59" spans="1:18" s="6" customFormat="1" ht="12.2" customHeight="1">
      <c r="A59" s="175" t="s">
        <v>121</v>
      </c>
      <c r="B59" s="150"/>
      <c r="C59" s="192"/>
      <c r="D59" s="75">
        <v>1318</v>
      </c>
      <c r="E59" s="75">
        <v>1521</v>
      </c>
      <c r="F59" s="75">
        <v>1609</v>
      </c>
      <c r="G59" s="75">
        <v>1184</v>
      </c>
      <c r="H59" s="75">
        <v>1308</v>
      </c>
      <c r="I59" s="75">
        <f>1564+786</f>
        <v>2350</v>
      </c>
      <c r="J59" s="75">
        <f>1839+809</f>
        <v>2648</v>
      </c>
      <c r="K59" s="75">
        <f>2050+1088</f>
        <v>3138</v>
      </c>
      <c r="L59" s="75">
        <f>2423+1144</f>
        <v>3567</v>
      </c>
      <c r="M59" s="75">
        <f>2516+1193</f>
        <v>3709</v>
      </c>
      <c r="N59" s="75">
        <v>3702.924</v>
      </c>
      <c r="O59" s="150"/>
      <c r="P59" s="177" t="s">
        <v>120</v>
      </c>
      <c r="R59" s="17"/>
    </row>
    <row r="60" spans="1:18" s="6" customFormat="1" ht="12.2" customHeight="1">
      <c r="A60" s="175" t="s">
        <v>34</v>
      </c>
      <c r="B60" s="150"/>
      <c r="C60" s="190"/>
      <c r="D60" s="75">
        <v>2575.1999999999998</v>
      </c>
      <c r="E60" s="75">
        <v>2873.9</v>
      </c>
      <c r="F60" s="75">
        <v>2440</v>
      </c>
      <c r="G60" s="75">
        <v>1846</v>
      </c>
      <c r="H60" s="75">
        <v>2224</v>
      </c>
      <c r="I60" s="75">
        <v>2895</v>
      </c>
      <c r="J60" s="75">
        <v>3260</v>
      </c>
      <c r="K60" s="75">
        <v>3583</v>
      </c>
      <c r="L60" s="75">
        <v>3685</v>
      </c>
      <c r="M60" s="75">
        <v>3749</v>
      </c>
      <c r="N60" s="75">
        <v>3782</v>
      </c>
      <c r="O60" s="150"/>
      <c r="P60" s="177" t="s">
        <v>35</v>
      </c>
      <c r="R60" s="17"/>
    </row>
    <row r="61" spans="1:18" s="6" customFormat="1" ht="12.2" customHeight="1">
      <c r="A61" s="178" t="s">
        <v>36</v>
      </c>
      <c r="B61" s="150"/>
      <c r="C61" s="190"/>
      <c r="D61" s="75">
        <v>475</v>
      </c>
      <c r="E61" s="75">
        <v>529</v>
      </c>
      <c r="F61" s="75">
        <v>481</v>
      </c>
      <c r="G61" s="75">
        <v>1074</v>
      </c>
      <c r="H61" s="75">
        <v>1247</v>
      </c>
      <c r="I61" s="75">
        <v>1588</v>
      </c>
      <c r="J61" s="75">
        <v>2664</v>
      </c>
      <c r="K61" s="75">
        <v>2802</v>
      </c>
      <c r="L61" s="75">
        <v>2179</v>
      </c>
      <c r="M61" s="75">
        <v>2251</v>
      </c>
      <c r="N61" s="75">
        <v>2157.643</v>
      </c>
      <c r="O61" s="150"/>
      <c r="P61" s="179" t="s">
        <v>37</v>
      </c>
      <c r="R61" s="17"/>
    </row>
    <row r="62" spans="1:18" s="6" customFormat="1" ht="12.2" customHeight="1">
      <c r="A62" s="178" t="s">
        <v>38</v>
      </c>
      <c r="B62" s="150"/>
      <c r="C62" s="190"/>
      <c r="D62" s="75">
        <v>742</v>
      </c>
      <c r="E62" s="75">
        <v>960</v>
      </c>
      <c r="F62" s="75">
        <v>777</v>
      </c>
      <c r="G62" s="75">
        <v>838</v>
      </c>
      <c r="H62" s="75">
        <v>803</v>
      </c>
      <c r="I62" s="75">
        <v>350</v>
      </c>
      <c r="J62" s="75">
        <v>396</v>
      </c>
      <c r="K62" s="75">
        <v>453</v>
      </c>
      <c r="L62" s="75">
        <v>454</v>
      </c>
      <c r="M62" s="75">
        <v>478</v>
      </c>
      <c r="N62" s="75">
        <v>473.41800000000001</v>
      </c>
      <c r="O62" s="150"/>
      <c r="P62" s="177" t="s">
        <v>39</v>
      </c>
      <c r="R62" s="17"/>
    </row>
    <row r="63" spans="1:18" s="6" customFormat="1" ht="12.2" customHeight="1">
      <c r="A63" s="175" t="s">
        <v>40</v>
      </c>
      <c r="B63" s="150"/>
      <c r="C63" s="171"/>
      <c r="D63" s="75">
        <f>SUM(D64:D65)</f>
        <v>1574</v>
      </c>
      <c r="E63" s="75">
        <f>SUM(E64:E65)</f>
        <v>1790</v>
      </c>
      <c r="F63" s="75">
        <f>SUM(F64:F65)</f>
        <v>1929</v>
      </c>
      <c r="G63" s="75">
        <v>1945.5</v>
      </c>
      <c r="H63" s="75">
        <v>2510.6999999999998</v>
      </c>
      <c r="I63" s="75">
        <v>2612.5</v>
      </c>
      <c r="J63" s="75">
        <v>3069</v>
      </c>
      <c r="K63" s="75">
        <v>2043</v>
      </c>
      <c r="L63" s="75">
        <v>3468</v>
      </c>
      <c r="M63" s="75">
        <v>3286</v>
      </c>
      <c r="N63" s="75">
        <v>3269</v>
      </c>
      <c r="O63" s="150"/>
      <c r="P63" s="177" t="s">
        <v>41</v>
      </c>
      <c r="R63" s="51"/>
    </row>
    <row r="64" spans="1:18" s="6" customFormat="1" ht="12.2" customHeight="1">
      <c r="A64" s="175" t="s">
        <v>42</v>
      </c>
      <c r="B64" s="150"/>
      <c r="C64" s="171"/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 t="s">
        <v>141</v>
      </c>
      <c r="O64" s="150"/>
      <c r="P64" s="176" t="s">
        <v>43</v>
      </c>
      <c r="R64" s="17"/>
    </row>
    <row r="65" spans="1:18" s="6" customFormat="1" ht="12.2" customHeight="1">
      <c r="A65" s="175" t="s">
        <v>38</v>
      </c>
      <c r="B65" s="150"/>
      <c r="C65" s="171"/>
      <c r="D65" s="75">
        <v>1574</v>
      </c>
      <c r="E65" s="75">
        <v>1790</v>
      </c>
      <c r="F65" s="75">
        <v>1929</v>
      </c>
      <c r="G65" s="75">
        <v>1945.5</v>
      </c>
      <c r="H65" s="75">
        <v>2510.6999999999998</v>
      </c>
      <c r="I65" s="75">
        <v>2612.5</v>
      </c>
      <c r="J65" s="75">
        <v>3069</v>
      </c>
      <c r="K65" s="75">
        <v>2043</v>
      </c>
      <c r="L65" s="75">
        <v>3468</v>
      </c>
      <c r="M65" s="75">
        <v>3286</v>
      </c>
      <c r="N65" s="75">
        <v>3268.9479999999999</v>
      </c>
      <c r="O65" s="150"/>
      <c r="P65" s="179" t="s">
        <v>39</v>
      </c>
      <c r="R65" s="17"/>
    </row>
    <row r="66" spans="1:18" s="6" customFormat="1" ht="12.2" customHeight="1">
      <c r="A66" s="175" t="s">
        <v>44</v>
      </c>
      <c r="B66" s="150"/>
      <c r="C66" s="171"/>
      <c r="D66" s="75">
        <f t="shared" ref="D66:J66" si="14">D58+D63</f>
        <v>5366.2</v>
      </c>
      <c r="E66" s="75">
        <f t="shared" si="14"/>
        <v>7673.9</v>
      </c>
      <c r="F66" s="75">
        <f t="shared" si="14"/>
        <v>7236</v>
      </c>
      <c r="G66" s="75">
        <f t="shared" si="14"/>
        <v>6887.5</v>
      </c>
      <c r="H66" s="75">
        <f t="shared" si="14"/>
        <v>8092.7</v>
      </c>
      <c r="I66" s="75">
        <f t="shared" si="14"/>
        <v>9795.5</v>
      </c>
      <c r="J66" s="75">
        <f t="shared" si="14"/>
        <v>12037</v>
      </c>
      <c r="K66" s="75">
        <f>K58+K63</f>
        <v>12019</v>
      </c>
      <c r="L66" s="75">
        <f>L58+L63</f>
        <v>13353</v>
      </c>
      <c r="M66" s="75">
        <f>M58+M63</f>
        <v>13473</v>
      </c>
      <c r="N66" s="75">
        <v>13385</v>
      </c>
      <c r="O66" s="150"/>
      <c r="P66" s="179" t="s">
        <v>45</v>
      </c>
      <c r="R66" s="17"/>
    </row>
    <row r="67" spans="1:18" s="6" customFormat="1" ht="20.25" customHeight="1">
      <c r="A67" s="165" t="s">
        <v>206</v>
      </c>
      <c r="B67" s="150"/>
      <c r="C67" s="171"/>
      <c r="D67" s="75"/>
      <c r="E67" s="75"/>
      <c r="F67" s="75"/>
      <c r="G67" s="75"/>
      <c r="H67" s="172" t="s">
        <v>207</v>
      </c>
      <c r="I67" s="75"/>
      <c r="J67" s="75"/>
      <c r="K67" s="75"/>
      <c r="L67" s="75"/>
      <c r="M67" s="173" t="s">
        <v>145</v>
      </c>
      <c r="N67" s="173"/>
      <c r="O67" s="173"/>
      <c r="P67" s="174" t="s">
        <v>208</v>
      </c>
      <c r="R67" s="17"/>
    </row>
    <row r="68" spans="1:18" s="6" customFormat="1" ht="12.2" customHeight="1">
      <c r="A68" s="175" t="s">
        <v>32</v>
      </c>
      <c r="B68" s="150"/>
      <c r="C68" s="171"/>
      <c r="D68" s="75"/>
      <c r="E68" s="75"/>
      <c r="F68" s="75"/>
      <c r="G68" s="75"/>
      <c r="H68" s="75"/>
      <c r="I68" s="75">
        <f>SUM(I69:I72)</f>
        <v>3289.7</v>
      </c>
      <c r="J68" s="75">
        <f t="shared" ref="J68:M68" si="15">SUM(J69:J72)</f>
        <v>3381.5</v>
      </c>
      <c r="K68" s="75">
        <f t="shared" si="15"/>
        <v>3641.4</v>
      </c>
      <c r="L68" s="75">
        <f t="shared" si="15"/>
        <v>698.2</v>
      </c>
      <c r="M68" s="75">
        <f t="shared" si="15"/>
        <v>866.5</v>
      </c>
      <c r="N68" s="75" t="s">
        <v>61</v>
      </c>
      <c r="O68" s="150"/>
      <c r="P68" s="176" t="s">
        <v>33</v>
      </c>
      <c r="R68" s="17"/>
    </row>
    <row r="69" spans="1:18" s="6" customFormat="1" ht="12.2" customHeight="1">
      <c r="A69" s="175" t="s">
        <v>214</v>
      </c>
      <c r="B69" s="150"/>
      <c r="C69" s="171"/>
      <c r="D69" s="75"/>
      <c r="E69" s="75"/>
      <c r="F69" s="75"/>
      <c r="G69" s="75"/>
      <c r="H69" s="75"/>
      <c r="I69" s="75">
        <v>2790.5</v>
      </c>
      <c r="J69" s="75">
        <v>2504.8000000000002</v>
      </c>
      <c r="K69" s="75">
        <v>2247.5</v>
      </c>
      <c r="L69" s="75">
        <v>460.7</v>
      </c>
      <c r="M69" s="75">
        <v>617.6</v>
      </c>
      <c r="N69" s="75" t="s">
        <v>61</v>
      </c>
      <c r="O69" s="150"/>
      <c r="P69" s="177" t="s">
        <v>215</v>
      </c>
      <c r="R69" s="17"/>
    </row>
    <row r="70" spans="1:18" s="6" customFormat="1" ht="12.2" customHeight="1">
      <c r="A70" s="175" t="s">
        <v>34</v>
      </c>
      <c r="B70" s="150"/>
      <c r="C70" s="171"/>
      <c r="D70" s="75"/>
      <c r="E70" s="75"/>
      <c r="F70" s="75"/>
      <c r="G70" s="75"/>
      <c r="H70" s="75"/>
      <c r="I70" s="75" t="s">
        <v>61</v>
      </c>
      <c r="J70" s="75" t="s">
        <v>61</v>
      </c>
      <c r="K70" s="75" t="s">
        <v>61</v>
      </c>
      <c r="L70" s="75" t="s">
        <v>61</v>
      </c>
      <c r="M70" s="75" t="s">
        <v>61</v>
      </c>
      <c r="N70" s="75" t="s">
        <v>61</v>
      </c>
      <c r="O70" s="150"/>
      <c r="P70" s="177" t="s">
        <v>35</v>
      </c>
      <c r="R70" s="17"/>
    </row>
    <row r="71" spans="1:18" s="6" customFormat="1" ht="12.2" customHeight="1">
      <c r="A71" s="178" t="s">
        <v>36</v>
      </c>
      <c r="B71" s="150"/>
      <c r="C71" s="171"/>
      <c r="D71" s="75"/>
      <c r="E71" s="75"/>
      <c r="F71" s="75"/>
      <c r="G71" s="75"/>
      <c r="H71" s="75"/>
      <c r="I71" s="75">
        <v>499.2</v>
      </c>
      <c r="J71" s="75">
        <v>876.7</v>
      </c>
      <c r="K71" s="75">
        <v>1393.9</v>
      </c>
      <c r="L71" s="75">
        <v>237.5</v>
      </c>
      <c r="M71" s="75">
        <v>248.9</v>
      </c>
      <c r="N71" s="75" t="s">
        <v>61</v>
      </c>
      <c r="O71" s="150"/>
      <c r="P71" s="179" t="s">
        <v>37</v>
      </c>
      <c r="R71" s="17"/>
    </row>
    <row r="72" spans="1:18" s="6" customFormat="1" ht="12.2" customHeight="1">
      <c r="A72" s="178" t="s">
        <v>38</v>
      </c>
      <c r="B72" s="150"/>
      <c r="C72" s="171"/>
      <c r="D72" s="75"/>
      <c r="E72" s="75"/>
      <c r="F72" s="75"/>
      <c r="G72" s="75"/>
      <c r="H72" s="75"/>
      <c r="I72" s="75" t="s">
        <v>61</v>
      </c>
      <c r="J72" s="75" t="s">
        <v>61</v>
      </c>
      <c r="K72" s="75" t="s">
        <v>61</v>
      </c>
      <c r="L72" s="75" t="s">
        <v>61</v>
      </c>
      <c r="M72" s="75" t="s">
        <v>61</v>
      </c>
      <c r="N72" s="75" t="s">
        <v>61</v>
      </c>
      <c r="O72" s="150"/>
      <c r="P72" s="177" t="s">
        <v>39</v>
      </c>
      <c r="R72" s="17"/>
    </row>
    <row r="73" spans="1:18" s="6" customFormat="1" ht="12.2" customHeight="1">
      <c r="A73" s="175" t="s">
        <v>40</v>
      </c>
      <c r="B73" s="150"/>
      <c r="C73" s="171"/>
      <c r="D73" s="75"/>
      <c r="E73" s="75"/>
      <c r="F73" s="75"/>
      <c r="G73" s="75"/>
      <c r="H73" s="75"/>
      <c r="I73" s="75">
        <f>I74+I75</f>
        <v>69451.5</v>
      </c>
      <c r="J73" s="75">
        <f t="shared" ref="J73:M73" si="16">J74+J75</f>
        <v>38403.5</v>
      </c>
      <c r="K73" s="75">
        <f t="shared" si="16"/>
        <v>57861.7</v>
      </c>
      <c r="L73" s="75">
        <f t="shared" si="16"/>
        <v>16115.1</v>
      </c>
      <c r="M73" s="75">
        <f t="shared" si="16"/>
        <v>69264.800000000003</v>
      </c>
      <c r="N73" s="75" t="s">
        <v>61</v>
      </c>
      <c r="O73" s="150"/>
      <c r="P73" s="177" t="s">
        <v>41</v>
      </c>
      <c r="R73" s="17"/>
    </row>
    <row r="74" spans="1:18" s="6" customFormat="1" ht="12.2" customHeight="1">
      <c r="A74" s="175" t="s">
        <v>42</v>
      </c>
      <c r="B74" s="150"/>
      <c r="C74" s="171"/>
      <c r="D74" s="75"/>
      <c r="E74" s="75"/>
      <c r="F74" s="75"/>
      <c r="G74" s="75"/>
      <c r="H74" s="75">
        <v>2927.07</v>
      </c>
      <c r="I74" s="75">
        <v>64417</v>
      </c>
      <c r="J74" s="75">
        <v>35347</v>
      </c>
      <c r="K74" s="75">
        <v>55713</v>
      </c>
      <c r="L74" s="75">
        <v>15830.1</v>
      </c>
      <c r="M74" s="75">
        <v>66932.100000000006</v>
      </c>
      <c r="N74" s="75" t="s">
        <v>61</v>
      </c>
      <c r="O74" s="150"/>
      <c r="P74" s="176" t="s">
        <v>43</v>
      </c>
      <c r="R74" s="17"/>
    </row>
    <row r="75" spans="1:18" s="6" customFormat="1" ht="12.2" customHeight="1">
      <c r="A75" s="175" t="s">
        <v>38</v>
      </c>
      <c r="B75" s="150"/>
      <c r="C75" s="171"/>
      <c r="D75" s="75"/>
      <c r="E75" s="75"/>
      <c r="F75" s="75"/>
      <c r="G75" s="75"/>
      <c r="H75" s="75"/>
      <c r="I75" s="75">
        <v>5034.5</v>
      </c>
      <c r="J75" s="75">
        <v>3056.5</v>
      </c>
      <c r="K75" s="75">
        <v>2148.6999999999998</v>
      </c>
      <c r="L75" s="75">
        <v>285</v>
      </c>
      <c r="M75" s="75">
        <v>2332.6999999999998</v>
      </c>
      <c r="N75" s="75" t="s">
        <v>61</v>
      </c>
      <c r="O75" s="150"/>
      <c r="P75" s="179" t="s">
        <v>39</v>
      </c>
      <c r="R75" s="17"/>
    </row>
    <row r="76" spans="1:18" s="6" customFormat="1" ht="12.2" customHeight="1">
      <c r="A76" s="175" t="s">
        <v>44</v>
      </c>
      <c r="B76" s="150"/>
      <c r="C76" s="171"/>
      <c r="D76" s="75"/>
      <c r="E76" s="75"/>
      <c r="F76" s="75"/>
      <c r="G76" s="75"/>
      <c r="H76" s="75">
        <v>53090</v>
      </c>
      <c r="I76" s="75">
        <f>I73+I68</f>
        <v>72741.2</v>
      </c>
      <c r="J76" s="75">
        <f t="shared" ref="J76:M76" si="17">J73+J68</f>
        <v>41785</v>
      </c>
      <c r="K76" s="75">
        <f t="shared" si="17"/>
        <v>61503.1</v>
      </c>
      <c r="L76" s="75">
        <f t="shared" si="17"/>
        <v>16813.3</v>
      </c>
      <c r="M76" s="75">
        <f t="shared" si="17"/>
        <v>70131.3</v>
      </c>
      <c r="N76" s="75" t="s">
        <v>61</v>
      </c>
      <c r="O76" s="180"/>
      <c r="P76" s="179" t="s">
        <v>45</v>
      </c>
      <c r="R76" s="17"/>
    </row>
    <row r="77" spans="1:18" s="6" customFormat="1" ht="21" customHeight="1">
      <c r="A77" s="165" t="s">
        <v>209</v>
      </c>
      <c r="B77" s="150"/>
      <c r="C77" s="171"/>
      <c r="D77" s="75"/>
      <c r="E77" s="75"/>
      <c r="F77" s="75"/>
      <c r="G77" s="75"/>
      <c r="H77" s="172" t="s">
        <v>210</v>
      </c>
      <c r="I77" s="75"/>
      <c r="J77" s="75"/>
      <c r="K77" s="75"/>
      <c r="L77" s="75"/>
      <c r="M77" s="181" t="s">
        <v>157</v>
      </c>
      <c r="N77" s="181"/>
      <c r="O77" s="181"/>
      <c r="P77" s="174" t="s">
        <v>211</v>
      </c>
      <c r="R77" s="17"/>
    </row>
    <row r="78" spans="1:18" s="6" customFormat="1" ht="12.2" customHeight="1">
      <c r="A78" s="175" t="s">
        <v>32</v>
      </c>
      <c r="B78" s="150"/>
      <c r="C78" s="171"/>
      <c r="D78" s="75"/>
      <c r="E78" s="75"/>
      <c r="F78" s="75"/>
      <c r="G78" s="75"/>
      <c r="H78" s="75"/>
      <c r="I78" s="75">
        <v>167276</v>
      </c>
      <c r="J78" s="75">
        <v>150853</v>
      </c>
      <c r="K78" s="75">
        <v>154005</v>
      </c>
      <c r="L78" s="75">
        <v>163586</v>
      </c>
      <c r="M78" s="75">
        <v>176067.66</v>
      </c>
      <c r="N78" s="75">
        <v>173221</v>
      </c>
      <c r="O78" s="150"/>
      <c r="P78" s="176" t="s">
        <v>33</v>
      </c>
      <c r="R78" s="17"/>
    </row>
    <row r="79" spans="1:18" s="6" customFormat="1" ht="12.2" customHeight="1">
      <c r="A79" s="175" t="s">
        <v>121</v>
      </c>
      <c r="B79" s="150"/>
      <c r="C79" s="171"/>
      <c r="D79" s="75"/>
      <c r="E79" s="75"/>
      <c r="F79" s="75"/>
      <c r="G79" s="75"/>
      <c r="H79" s="75"/>
      <c r="I79" s="75" t="s">
        <v>61</v>
      </c>
      <c r="J79" s="75" t="s">
        <v>61</v>
      </c>
      <c r="K79" s="75" t="s">
        <v>61</v>
      </c>
      <c r="L79" s="75" t="s">
        <v>61</v>
      </c>
      <c r="M79" s="75" t="s">
        <v>61</v>
      </c>
      <c r="N79" s="75" t="s">
        <v>61</v>
      </c>
      <c r="O79" s="150"/>
      <c r="P79" s="177" t="s">
        <v>120</v>
      </c>
      <c r="R79" s="17"/>
    </row>
    <row r="80" spans="1:18" s="6" customFormat="1" ht="12.2" customHeight="1">
      <c r="A80" s="175" t="s">
        <v>34</v>
      </c>
      <c r="B80" s="150"/>
      <c r="C80" s="171"/>
      <c r="D80" s="75"/>
      <c r="E80" s="75"/>
      <c r="F80" s="75"/>
      <c r="G80" s="75"/>
      <c r="H80" s="75"/>
      <c r="I80" s="75" t="s">
        <v>61</v>
      </c>
      <c r="J80" s="75" t="s">
        <v>61</v>
      </c>
      <c r="K80" s="75" t="s">
        <v>61</v>
      </c>
      <c r="L80" s="75" t="s">
        <v>61</v>
      </c>
      <c r="M80" s="75" t="s">
        <v>61</v>
      </c>
      <c r="N80" s="75" t="s">
        <v>61</v>
      </c>
      <c r="O80" s="150"/>
      <c r="P80" s="177" t="s">
        <v>35</v>
      </c>
      <c r="R80" s="17"/>
    </row>
    <row r="81" spans="1:18" s="6" customFormat="1" ht="12.2" customHeight="1">
      <c r="A81" s="178" t="s">
        <v>36</v>
      </c>
      <c r="B81" s="150"/>
      <c r="C81" s="171"/>
      <c r="D81" s="75"/>
      <c r="E81" s="75"/>
      <c r="F81" s="75"/>
      <c r="G81" s="75"/>
      <c r="H81" s="75"/>
      <c r="I81" s="75" t="s">
        <v>61</v>
      </c>
      <c r="J81" s="75" t="s">
        <v>61</v>
      </c>
      <c r="K81" s="75" t="s">
        <v>61</v>
      </c>
      <c r="L81" s="75" t="s">
        <v>61</v>
      </c>
      <c r="M81" s="75" t="s">
        <v>61</v>
      </c>
      <c r="N81" s="75" t="s">
        <v>61</v>
      </c>
      <c r="O81" s="150"/>
      <c r="P81" s="179" t="s">
        <v>37</v>
      </c>
      <c r="R81" s="17"/>
    </row>
    <row r="82" spans="1:18" s="6" customFormat="1" ht="12.2" customHeight="1">
      <c r="A82" s="178" t="s">
        <v>38</v>
      </c>
      <c r="B82" s="150"/>
      <c r="C82" s="171"/>
      <c r="D82" s="75"/>
      <c r="E82" s="75"/>
      <c r="F82" s="75"/>
      <c r="G82" s="75"/>
      <c r="H82" s="75"/>
      <c r="I82" s="75" t="s">
        <v>61</v>
      </c>
      <c r="J82" s="75" t="s">
        <v>61</v>
      </c>
      <c r="K82" s="75" t="s">
        <v>61</v>
      </c>
      <c r="L82" s="75" t="s">
        <v>61</v>
      </c>
      <c r="M82" s="75" t="s">
        <v>61</v>
      </c>
      <c r="N82" s="75" t="s">
        <v>61</v>
      </c>
      <c r="O82" s="150"/>
      <c r="P82" s="177" t="s">
        <v>39</v>
      </c>
      <c r="R82" s="17"/>
    </row>
    <row r="83" spans="1:18" s="6" customFormat="1" ht="12.2" customHeight="1">
      <c r="A83" s="175" t="s">
        <v>40</v>
      </c>
      <c r="B83" s="150"/>
      <c r="C83" s="171"/>
      <c r="D83" s="75"/>
      <c r="E83" s="75"/>
      <c r="F83" s="75"/>
      <c r="G83" s="75"/>
      <c r="H83" s="75"/>
      <c r="I83" s="75">
        <v>186302</v>
      </c>
      <c r="J83" s="75">
        <v>172569</v>
      </c>
      <c r="K83" s="75">
        <v>174180</v>
      </c>
      <c r="L83" s="75">
        <v>197617</v>
      </c>
      <c r="M83" s="150">
        <v>202226</v>
      </c>
      <c r="N83" s="194">
        <v>204565.486925</v>
      </c>
      <c r="O83" s="150"/>
      <c r="P83" s="177" t="s">
        <v>41</v>
      </c>
      <c r="R83" s="17"/>
    </row>
    <row r="84" spans="1:18" s="6" customFormat="1" ht="12.2" customHeight="1">
      <c r="A84" s="175" t="s">
        <v>42</v>
      </c>
      <c r="B84" s="150"/>
      <c r="C84" s="171"/>
      <c r="D84" s="75"/>
      <c r="E84" s="75"/>
      <c r="F84" s="75"/>
      <c r="G84" s="75"/>
      <c r="H84" s="75">
        <v>53468.54</v>
      </c>
      <c r="I84" s="75" t="s">
        <v>61</v>
      </c>
      <c r="J84" s="75" t="s">
        <v>61</v>
      </c>
      <c r="K84" s="75" t="s">
        <v>61</v>
      </c>
      <c r="L84" s="75" t="s">
        <v>61</v>
      </c>
      <c r="M84" s="75" t="s">
        <v>61</v>
      </c>
      <c r="N84" s="75" t="s">
        <v>61</v>
      </c>
      <c r="O84" s="182"/>
      <c r="P84" s="176" t="s">
        <v>43</v>
      </c>
      <c r="R84" s="17"/>
    </row>
    <row r="85" spans="1:18" s="6" customFormat="1" ht="12.2" customHeight="1">
      <c r="A85" s="175" t="s">
        <v>38</v>
      </c>
      <c r="B85" s="150"/>
      <c r="C85" s="171"/>
      <c r="D85" s="75"/>
      <c r="E85" s="75"/>
      <c r="F85" s="75"/>
      <c r="G85" s="75"/>
      <c r="H85" s="75"/>
      <c r="I85" s="75" t="s">
        <v>61</v>
      </c>
      <c r="J85" s="75" t="s">
        <v>61</v>
      </c>
      <c r="K85" s="75" t="s">
        <v>61</v>
      </c>
      <c r="L85" s="75" t="s">
        <v>61</v>
      </c>
      <c r="M85" s="75" t="s">
        <v>61</v>
      </c>
      <c r="N85" s="75" t="s">
        <v>61</v>
      </c>
      <c r="O85" s="150"/>
      <c r="P85" s="179" t="s">
        <v>39</v>
      </c>
      <c r="R85" s="17"/>
    </row>
    <row r="86" spans="1:18" s="6" customFormat="1" ht="12.2" customHeight="1">
      <c r="A86" s="175" t="s">
        <v>44</v>
      </c>
      <c r="B86" s="150"/>
      <c r="C86" s="171"/>
      <c r="D86" s="75"/>
      <c r="E86" s="75"/>
      <c r="F86" s="75"/>
      <c r="G86" s="75"/>
      <c r="H86" s="75">
        <v>184400</v>
      </c>
      <c r="I86" s="75">
        <f>I78+I83</f>
        <v>353578</v>
      </c>
      <c r="J86" s="75">
        <f t="shared" ref="J86:M86" si="18">J78+J83</f>
        <v>323422</v>
      </c>
      <c r="K86" s="75">
        <f t="shared" si="18"/>
        <v>328185</v>
      </c>
      <c r="L86" s="75">
        <f t="shared" si="18"/>
        <v>361203</v>
      </c>
      <c r="M86" s="75">
        <f t="shared" si="18"/>
        <v>378293.66000000003</v>
      </c>
      <c r="N86" s="75">
        <f>N78+N83</f>
        <v>377786.48692499998</v>
      </c>
      <c r="O86" s="150"/>
      <c r="P86" s="179" t="s">
        <v>45</v>
      </c>
      <c r="R86" s="17"/>
    </row>
    <row r="87" spans="1:18" s="6" customFormat="1" ht="20.100000000000001" customHeight="1">
      <c r="A87" s="188" t="s">
        <v>289</v>
      </c>
      <c r="B87" s="188" t="s">
        <v>151</v>
      </c>
      <c r="C87" s="19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 t="s">
        <v>152</v>
      </c>
      <c r="P87" s="189" t="s">
        <v>290</v>
      </c>
    </row>
    <row r="88" spans="1:18" s="6" customFormat="1" ht="12.2" customHeight="1">
      <c r="A88" s="175" t="s">
        <v>32</v>
      </c>
      <c r="B88" s="150"/>
      <c r="C88" s="190"/>
      <c r="D88" s="183">
        <v>213.5</v>
      </c>
      <c r="E88" s="183">
        <v>240.5</v>
      </c>
      <c r="F88" s="183">
        <v>337.2</v>
      </c>
      <c r="G88" s="183">
        <v>357.2</v>
      </c>
      <c r="H88" s="183">
        <v>528.5</v>
      </c>
      <c r="I88" s="183">
        <v>694</v>
      </c>
      <c r="J88" s="183">
        <v>761.8</v>
      </c>
      <c r="K88" s="183">
        <v>707.6</v>
      </c>
      <c r="L88" s="183">
        <v>729</v>
      </c>
      <c r="M88" s="183">
        <v>910</v>
      </c>
      <c r="N88" s="183">
        <v>943.3</v>
      </c>
      <c r="O88" s="150"/>
      <c r="P88" s="176" t="s">
        <v>33</v>
      </c>
      <c r="R88" s="17"/>
    </row>
    <row r="89" spans="1:18" s="6" customFormat="1" ht="12.2" customHeight="1">
      <c r="A89" s="175" t="s">
        <v>121</v>
      </c>
      <c r="B89" s="150"/>
      <c r="C89" s="192"/>
      <c r="D89" s="183">
        <f>61.5+43.1</f>
        <v>104.6</v>
      </c>
      <c r="E89" s="183">
        <f>65.3+49.1</f>
        <v>114.4</v>
      </c>
      <c r="F89" s="183">
        <f>79+71.2</f>
        <v>150.19999999999999</v>
      </c>
      <c r="G89" s="183">
        <f>85.4+78.2</f>
        <v>163.60000000000002</v>
      </c>
      <c r="H89" s="183">
        <f>187.1+90.9</f>
        <v>278</v>
      </c>
      <c r="I89" s="183">
        <f>237.4+101.7</f>
        <v>339.1</v>
      </c>
      <c r="J89" s="183">
        <f>370.1+102.1</f>
        <v>472.20000000000005</v>
      </c>
      <c r="K89" s="183">
        <f>272.6+121</f>
        <v>393.6</v>
      </c>
      <c r="L89" s="183">
        <f>282+150.5</f>
        <v>432.5</v>
      </c>
      <c r="M89" s="183">
        <v>517</v>
      </c>
      <c r="N89" s="183">
        <v>549</v>
      </c>
      <c r="O89" s="150"/>
      <c r="P89" s="177" t="s">
        <v>120</v>
      </c>
      <c r="R89" s="17"/>
    </row>
    <row r="90" spans="1:18" s="6" customFormat="1" ht="12.2" customHeight="1">
      <c r="A90" s="175" t="s">
        <v>34</v>
      </c>
      <c r="B90" s="150"/>
      <c r="C90" s="190"/>
      <c r="D90" s="183">
        <v>43.9</v>
      </c>
      <c r="E90" s="183">
        <v>55.1</v>
      </c>
      <c r="F90" s="183">
        <f>58.9+39.6</f>
        <v>98.5</v>
      </c>
      <c r="G90" s="183">
        <v>79</v>
      </c>
      <c r="H90" s="183">
        <v>91</v>
      </c>
      <c r="I90" s="183">
        <v>128.30000000000001</v>
      </c>
      <c r="J90" s="183">
        <v>111.1</v>
      </c>
      <c r="K90" s="183">
        <v>124.4</v>
      </c>
      <c r="L90" s="183">
        <v>134.80000000000001</v>
      </c>
      <c r="M90" s="183">
        <v>143</v>
      </c>
      <c r="N90" s="183">
        <v>177</v>
      </c>
      <c r="O90" s="150"/>
      <c r="P90" s="177" t="s">
        <v>35</v>
      </c>
      <c r="R90" s="17"/>
    </row>
    <row r="91" spans="1:18" s="6" customFormat="1" ht="12.2" customHeight="1">
      <c r="A91" s="178" t="s">
        <v>36</v>
      </c>
      <c r="B91" s="150"/>
      <c r="C91" s="190"/>
      <c r="D91" s="183">
        <v>65</v>
      </c>
      <c r="E91" s="183">
        <v>71</v>
      </c>
      <c r="F91" s="183">
        <v>88.5</v>
      </c>
      <c r="G91" s="183">
        <v>114.6</v>
      </c>
      <c r="H91" s="183">
        <v>160</v>
      </c>
      <c r="I91" s="183">
        <v>226.6</v>
      </c>
      <c r="J91" s="183">
        <v>158.1</v>
      </c>
      <c r="K91" s="183">
        <v>179.6</v>
      </c>
      <c r="L91" s="183">
        <v>161</v>
      </c>
      <c r="M91" s="183">
        <v>250</v>
      </c>
      <c r="N91" s="183">
        <v>217.3</v>
      </c>
      <c r="O91" s="150"/>
      <c r="P91" s="179" t="s">
        <v>37</v>
      </c>
      <c r="R91" s="17"/>
    </row>
    <row r="92" spans="1:18" s="6" customFormat="1" ht="12.2" customHeight="1">
      <c r="A92" s="178" t="s">
        <v>38</v>
      </c>
      <c r="B92" s="150"/>
      <c r="C92" s="190"/>
      <c r="D92" s="159">
        <v>0</v>
      </c>
      <c r="E92" s="159">
        <v>0</v>
      </c>
      <c r="F92" s="196">
        <v>39.6</v>
      </c>
      <c r="G92" s="159">
        <v>0</v>
      </c>
      <c r="H92" s="159">
        <v>0</v>
      </c>
      <c r="I92" s="159">
        <v>0</v>
      </c>
      <c r="J92" s="196">
        <v>20.3</v>
      </c>
      <c r="K92" s="196">
        <v>10</v>
      </c>
      <c r="L92" s="159">
        <v>0</v>
      </c>
      <c r="M92" s="159">
        <v>0</v>
      </c>
      <c r="N92" s="159" t="s">
        <v>141</v>
      </c>
      <c r="O92" s="150"/>
      <c r="P92" s="177" t="s">
        <v>39</v>
      </c>
      <c r="R92" s="51"/>
    </row>
    <row r="93" spans="1:18" s="6" customFormat="1" ht="12.2" customHeight="1">
      <c r="A93" s="175" t="s">
        <v>40</v>
      </c>
      <c r="B93" s="150"/>
      <c r="C93" s="171"/>
      <c r="D93" s="75">
        <f t="shared" ref="D93:J93" si="19">D94+D95</f>
        <v>3091.4</v>
      </c>
      <c r="E93" s="75">
        <f t="shared" si="19"/>
        <v>3799.9</v>
      </c>
      <c r="F93" s="75">
        <f t="shared" si="19"/>
        <v>4173.8</v>
      </c>
      <c r="G93" s="75">
        <f t="shared" si="19"/>
        <v>4622.3</v>
      </c>
      <c r="H93" s="75">
        <f t="shared" si="19"/>
        <v>5392.0999999999995</v>
      </c>
      <c r="I93" s="75">
        <f t="shared" si="19"/>
        <v>6942.5000000000009</v>
      </c>
      <c r="J93" s="75">
        <f t="shared" si="19"/>
        <v>5986.8</v>
      </c>
      <c r="K93" s="75">
        <f>K94+K95</f>
        <v>7208.9</v>
      </c>
      <c r="L93" s="75">
        <f>L96-L88</f>
        <v>9896</v>
      </c>
      <c r="M93" s="75">
        <f>M96-M88</f>
        <v>12564.5</v>
      </c>
      <c r="N93" s="75"/>
      <c r="O93" s="150"/>
      <c r="P93" s="177" t="s">
        <v>41</v>
      </c>
      <c r="R93" s="17"/>
    </row>
    <row r="94" spans="1:18" s="6" customFormat="1" ht="12.2" customHeight="1">
      <c r="A94" s="175" t="s">
        <v>42</v>
      </c>
      <c r="B94" s="150"/>
      <c r="C94" s="171"/>
      <c r="D94" s="75">
        <v>2403</v>
      </c>
      <c r="E94" s="75">
        <v>3156</v>
      </c>
      <c r="F94" s="75">
        <v>3556</v>
      </c>
      <c r="G94" s="75">
        <v>3839</v>
      </c>
      <c r="H94" s="75">
        <f>3678.2+810.9</f>
        <v>4489.0999999999995</v>
      </c>
      <c r="I94" s="75">
        <f>5093.1+909.1</f>
        <v>6002.2000000000007</v>
      </c>
      <c r="J94" s="75">
        <f>4490.5+731.3</f>
        <v>5221.8</v>
      </c>
      <c r="K94" s="75">
        <f>5470.1+929.9</f>
        <v>6400</v>
      </c>
      <c r="L94" s="75">
        <v>8971</v>
      </c>
      <c r="M94" s="75">
        <v>11415</v>
      </c>
      <c r="N94" s="75">
        <v>11924.8</v>
      </c>
      <c r="O94" s="150"/>
      <c r="P94" s="176" t="s">
        <v>43</v>
      </c>
      <c r="R94" s="17"/>
    </row>
    <row r="95" spans="1:18" s="6" customFormat="1" ht="12.2" customHeight="1">
      <c r="A95" s="175" t="s">
        <v>38</v>
      </c>
      <c r="B95" s="150"/>
      <c r="C95" s="171"/>
      <c r="D95" s="75">
        <f>661.9+26.5</f>
        <v>688.4</v>
      </c>
      <c r="E95" s="75">
        <f>609.5+34.4</f>
        <v>643.9</v>
      </c>
      <c r="F95" s="75">
        <f>551.1+66.7</f>
        <v>617.80000000000007</v>
      </c>
      <c r="G95" s="75">
        <f>716.2+67.1</f>
        <v>783.30000000000007</v>
      </c>
      <c r="H95" s="75">
        <f>816.4+86.6</f>
        <v>903</v>
      </c>
      <c r="I95" s="75">
        <v>940.3</v>
      </c>
      <c r="J95" s="75">
        <v>765</v>
      </c>
      <c r="K95" s="75">
        <v>808.9</v>
      </c>
      <c r="L95" s="75">
        <f>L93-L94</f>
        <v>925</v>
      </c>
      <c r="M95" s="75">
        <f>M93-M94</f>
        <v>1149.5</v>
      </c>
      <c r="N95" s="75"/>
      <c r="O95" s="150"/>
      <c r="P95" s="179" t="s">
        <v>39</v>
      </c>
      <c r="R95" s="17"/>
    </row>
    <row r="96" spans="1:18" s="6" customFormat="1" ht="12.2" customHeight="1">
      <c r="A96" s="175" t="s">
        <v>44</v>
      </c>
      <c r="B96" s="150"/>
      <c r="C96" s="171"/>
      <c r="D96" s="75">
        <f t="shared" ref="D96:K96" si="20">D88+D93</f>
        <v>3304.9</v>
      </c>
      <c r="E96" s="75">
        <f t="shared" si="20"/>
        <v>4040.4</v>
      </c>
      <c r="F96" s="75">
        <f t="shared" si="20"/>
        <v>4511</v>
      </c>
      <c r="G96" s="75">
        <f t="shared" si="20"/>
        <v>4979.5</v>
      </c>
      <c r="H96" s="75">
        <f t="shared" si="20"/>
        <v>5920.5999999999995</v>
      </c>
      <c r="I96" s="75">
        <f t="shared" si="20"/>
        <v>7636.5000000000009</v>
      </c>
      <c r="J96" s="75">
        <f t="shared" si="20"/>
        <v>6748.6</v>
      </c>
      <c r="K96" s="75">
        <f t="shared" si="20"/>
        <v>7916.5</v>
      </c>
      <c r="L96" s="75">
        <v>10625</v>
      </c>
      <c r="M96" s="75">
        <v>13474.5</v>
      </c>
      <c r="N96" s="75">
        <v>13907.6</v>
      </c>
      <c r="O96" s="150"/>
      <c r="P96" s="179" t="s">
        <v>45</v>
      </c>
      <c r="R96" s="17"/>
    </row>
    <row r="97" spans="1:18" s="6" customFormat="1" ht="20.100000000000001" customHeight="1">
      <c r="A97" s="188" t="s">
        <v>94</v>
      </c>
      <c r="B97" s="188" t="s">
        <v>153</v>
      </c>
      <c r="C97" s="19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 t="s">
        <v>154</v>
      </c>
      <c r="P97" s="189" t="s">
        <v>95</v>
      </c>
    </row>
    <row r="98" spans="1:18" s="6" customFormat="1" ht="12.2" customHeight="1">
      <c r="A98" s="175" t="s">
        <v>32</v>
      </c>
      <c r="B98" s="150"/>
      <c r="C98" s="190"/>
      <c r="D98" s="75">
        <v>639</v>
      </c>
      <c r="E98" s="75">
        <v>904</v>
      </c>
      <c r="F98" s="75">
        <v>1125</v>
      </c>
      <c r="G98" s="75">
        <v>565</v>
      </c>
      <c r="H98" s="75">
        <v>1520</v>
      </c>
      <c r="I98" s="75">
        <v>272.8</v>
      </c>
      <c r="J98" s="75">
        <v>301.5</v>
      </c>
      <c r="K98" s="75">
        <v>474.3</v>
      </c>
      <c r="L98" s="75">
        <v>482.1</v>
      </c>
      <c r="M98" s="75">
        <v>483.2</v>
      </c>
      <c r="N98" s="75">
        <v>597.20000000000005</v>
      </c>
      <c r="O98" s="150"/>
      <c r="P98" s="176" t="s">
        <v>33</v>
      </c>
      <c r="R98" s="17"/>
    </row>
    <row r="99" spans="1:18" s="6" customFormat="1" ht="12.2" customHeight="1">
      <c r="A99" s="175" t="s">
        <v>121</v>
      </c>
      <c r="B99" s="150"/>
      <c r="C99" s="192"/>
      <c r="D99" s="75">
        <v>167</v>
      </c>
      <c r="E99" s="75">
        <v>191</v>
      </c>
      <c r="F99" s="75">
        <v>231</v>
      </c>
      <c r="G99" s="75">
        <v>221</v>
      </c>
      <c r="H99" s="75">
        <v>202</v>
      </c>
      <c r="I99" s="75">
        <v>52.856999999999999</v>
      </c>
      <c r="J99" s="75">
        <v>26.56</v>
      </c>
      <c r="K99" s="75">
        <v>46.988999999999997</v>
      </c>
      <c r="L99" s="75">
        <v>42.698999999999998</v>
      </c>
      <c r="M99" s="75" t="s">
        <v>141</v>
      </c>
      <c r="N99" s="75">
        <v>67.91</v>
      </c>
      <c r="O99" s="150"/>
      <c r="P99" s="177" t="s">
        <v>120</v>
      </c>
      <c r="R99" s="17"/>
    </row>
    <row r="100" spans="1:18" s="6" customFormat="1" ht="12.2" customHeight="1">
      <c r="A100" s="175" t="s">
        <v>34</v>
      </c>
      <c r="B100" s="150"/>
      <c r="C100" s="190"/>
      <c r="D100" s="75">
        <v>472</v>
      </c>
      <c r="E100" s="75">
        <v>713</v>
      </c>
      <c r="F100" s="75">
        <v>894</v>
      </c>
      <c r="G100" s="75">
        <v>344</v>
      </c>
      <c r="H100" s="75">
        <v>1318</v>
      </c>
      <c r="I100" s="75">
        <v>220.14</v>
      </c>
      <c r="J100" s="75">
        <v>271.24</v>
      </c>
      <c r="K100" s="75">
        <v>298.625</v>
      </c>
      <c r="L100" s="75">
        <v>300.827</v>
      </c>
      <c r="M100" s="75" t="s">
        <v>141</v>
      </c>
      <c r="N100" s="75">
        <v>359.11</v>
      </c>
      <c r="O100" s="150"/>
      <c r="P100" s="177" t="s">
        <v>35</v>
      </c>
      <c r="R100" s="17"/>
    </row>
    <row r="101" spans="1:18" s="6" customFormat="1" ht="12.2" customHeight="1">
      <c r="A101" s="178" t="s">
        <v>36</v>
      </c>
      <c r="B101" s="150"/>
      <c r="C101" s="190"/>
      <c r="D101" s="159">
        <v>0</v>
      </c>
      <c r="E101" s="159">
        <v>0</v>
      </c>
      <c r="F101" s="159">
        <v>0</v>
      </c>
      <c r="G101" s="159">
        <v>0</v>
      </c>
      <c r="H101" s="159">
        <v>0</v>
      </c>
      <c r="I101" s="159">
        <v>0</v>
      </c>
      <c r="J101" s="75">
        <v>4.194</v>
      </c>
      <c r="K101" s="75">
        <v>128.63999999999999</v>
      </c>
      <c r="L101" s="75">
        <v>138.47</v>
      </c>
      <c r="M101" s="75" t="s">
        <v>141</v>
      </c>
      <c r="N101" s="75">
        <v>169.97900000000001</v>
      </c>
      <c r="O101" s="150"/>
      <c r="P101" s="179" t="s">
        <v>37</v>
      </c>
      <c r="R101" s="17"/>
    </row>
    <row r="102" spans="1:18" s="6" customFormat="1" ht="12.2" customHeight="1">
      <c r="A102" s="178" t="s">
        <v>38</v>
      </c>
      <c r="B102" s="150"/>
      <c r="C102" s="190"/>
      <c r="D102" s="159">
        <v>0</v>
      </c>
      <c r="E102" s="159">
        <v>0</v>
      </c>
      <c r="F102" s="159">
        <v>0</v>
      </c>
      <c r="G102" s="159">
        <v>0</v>
      </c>
      <c r="H102" s="159">
        <v>0</v>
      </c>
      <c r="I102" s="159">
        <v>0</v>
      </c>
      <c r="J102" s="159">
        <v>0</v>
      </c>
      <c r="K102" s="159">
        <v>0</v>
      </c>
      <c r="L102" s="159">
        <v>0</v>
      </c>
      <c r="M102" s="159" t="s">
        <v>141</v>
      </c>
      <c r="N102" s="159" t="s">
        <v>141</v>
      </c>
      <c r="O102" s="150"/>
      <c r="P102" s="177" t="s">
        <v>39</v>
      </c>
      <c r="R102" s="17"/>
    </row>
    <row r="103" spans="1:18" s="6" customFormat="1" ht="12.2" customHeight="1">
      <c r="A103" s="175" t="s">
        <v>40</v>
      </c>
      <c r="B103" s="150"/>
      <c r="C103" s="171"/>
      <c r="D103" s="75">
        <v>744</v>
      </c>
      <c r="E103" s="75">
        <v>499</v>
      </c>
      <c r="F103" s="75">
        <v>881</v>
      </c>
      <c r="G103" s="75">
        <v>1176</v>
      </c>
      <c r="H103" s="75">
        <v>1444</v>
      </c>
      <c r="I103" s="75">
        <f>486.2+1137</f>
        <v>1623.2</v>
      </c>
      <c r="J103" s="75">
        <f>283.6+1090</f>
        <v>1373.6</v>
      </c>
      <c r="K103" s="75">
        <f>270.5+1259.2</f>
        <v>1529.7</v>
      </c>
      <c r="L103" s="75">
        <f>220+1487.4</f>
        <v>1707.4</v>
      </c>
      <c r="M103" s="75">
        <f>232.1+1574.4</f>
        <v>1806.5</v>
      </c>
      <c r="N103" s="75">
        <f>254.4+1690.5</f>
        <v>1944.9</v>
      </c>
      <c r="O103" s="150"/>
      <c r="P103" s="177" t="s">
        <v>41</v>
      </c>
      <c r="R103" s="17"/>
    </row>
    <row r="104" spans="1:18" s="6" customFormat="1" ht="12.2" customHeight="1">
      <c r="A104" s="175" t="s">
        <v>42</v>
      </c>
      <c r="B104" s="150"/>
      <c r="C104" s="171"/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 t="s">
        <v>141</v>
      </c>
      <c r="O104" s="150"/>
      <c r="P104" s="176" t="s">
        <v>43</v>
      </c>
      <c r="R104" s="83"/>
    </row>
    <row r="105" spans="1:18" s="6" customFormat="1" ht="12.2" customHeight="1">
      <c r="A105" s="175" t="s">
        <v>38</v>
      </c>
      <c r="B105" s="150"/>
      <c r="C105" s="171"/>
      <c r="D105" s="75">
        <v>744</v>
      </c>
      <c r="E105" s="75">
        <v>499</v>
      </c>
      <c r="F105" s="75">
        <v>881</v>
      </c>
      <c r="G105" s="75">
        <v>1176</v>
      </c>
      <c r="H105" s="75">
        <v>1444</v>
      </c>
      <c r="I105" s="75">
        <f t="shared" ref="I105:N105" si="21">I103</f>
        <v>1623.2</v>
      </c>
      <c r="J105" s="75">
        <f t="shared" si="21"/>
        <v>1373.6</v>
      </c>
      <c r="K105" s="75">
        <f t="shared" si="21"/>
        <v>1529.7</v>
      </c>
      <c r="L105" s="75">
        <f t="shared" si="21"/>
        <v>1707.4</v>
      </c>
      <c r="M105" s="75">
        <f t="shared" si="21"/>
        <v>1806.5</v>
      </c>
      <c r="N105" s="75">
        <f t="shared" si="21"/>
        <v>1944.9</v>
      </c>
      <c r="O105" s="150"/>
      <c r="P105" s="179" t="s">
        <v>39</v>
      </c>
      <c r="R105" s="17"/>
    </row>
    <row r="106" spans="1:18" s="6" customFormat="1" ht="12.2" customHeight="1">
      <c r="A106" s="175" t="s">
        <v>44</v>
      </c>
      <c r="B106" s="150"/>
      <c r="C106" s="171"/>
      <c r="D106" s="75">
        <f t="shared" ref="D106:I106" si="22">D98+D103</f>
        <v>1383</v>
      </c>
      <c r="E106" s="75">
        <f t="shared" si="22"/>
        <v>1403</v>
      </c>
      <c r="F106" s="75">
        <f t="shared" si="22"/>
        <v>2006</v>
      </c>
      <c r="G106" s="75">
        <f t="shared" si="22"/>
        <v>1741</v>
      </c>
      <c r="H106" s="75">
        <f t="shared" si="22"/>
        <v>2964</v>
      </c>
      <c r="I106" s="75">
        <f t="shared" si="22"/>
        <v>1896</v>
      </c>
      <c r="J106" s="75">
        <f>J98+J103</f>
        <v>1675.1</v>
      </c>
      <c r="K106" s="75">
        <f>K98+K103</f>
        <v>2004</v>
      </c>
      <c r="L106" s="75">
        <f>L98+L103</f>
        <v>2189.5</v>
      </c>
      <c r="M106" s="75">
        <f>M98+M103</f>
        <v>2289.6999999999998</v>
      </c>
      <c r="N106" s="75">
        <f>SUM(N98,N103)</f>
        <v>2542.1000000000004</v>
      </c>
      <c r="O106" s="150"/>
      <c r="P106" s="179" t="s">
        <v>45</v>
      </c>
      <c r="R106" s="17"/>
    </row>
    <row r="107" spans="1:18" s="6" customFormat="1" ht="20.100000000000001" customHeight="1">
      <c r="A107" s="188" t="s">
        <v>96</v>
      </c>
      <c r="B107" s="188" t="s">
        <v>151</v>
      </c>
      <c r="C107" s="19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 t="s">
        <v>152</v>
      </c>
      <c r="P107" s="189" t="s">
        <v>127</v>
      </c>
    </row>
    <row r="108" spans="1:18" s="6" customFormat="1" ht="12.2" customHeight="1">
      <c r="A108" s="175" t="s">
        <v>32</v>
      </c>
      <c r="B108" s="150"/>
      <c r="C108" s="190"/>
      <c r="D108" s="75">
        <v>2907</v>
      </c>
      <c r="E108" s="75">
        <v>5034</v>
      </c>
      <c r="F108" s="75">
        <v>5070</v>
      </c>
      <c r="G108" s="75">
        <v>9933</v>
      </c>
      <c r="H108" s="75">
        <v>16771</v>
      </c>
      <c r="I108" s="75">
        <v>27749</v>
      </c>
      <c r="J108" s="75">
        <v>32454</v>
      </c>
      <c r="K108" s="75">
        <f>K116-K113</f>
        <v>17921</v>
      </c>
      <c r="L108" s="75">
        <f>L116-L113</f>
        <v>38409</v>
      </c>
      <c r="M108" s="75">
        <f>M116-M113</f>
        <v>53129</v>
      </c>
      <c r="N108" s="183" t="s">
        <v>61</v>
      </c>
      <c r="O108" s="150"/>
      <c r="P108" s="176" t="s">
        <v>33</v>
      </c>
      <c r="R108" s="17"/>
    </row>
    <row r="109" spans="1:18" s="6" customFormat="1" ht="12.2" customHeight="1">
      <c r="A109" s="175" t="s">
        <v>121</v>
      </c>
      <c r="B109" s="150"/>
      <c r="C109" s="192"/>
      <c r="D109" s="183" t="s">
        <v>61</v>
      </c>
      <c r="E109" s="183" t="s">
        <v>61</v>
      </c>
      <c r="F109" s="183" t="s">
        <v>61</v>
      </c>
      <c r="G109" s="183" t="s">
        <v>61</v>
      </c>
      <c r="H109" s="183" t="s">
        <v>61</v>
      </c>
      <c r="I109" s="183" t="s">
        <v>61</v>
      </c>
      <c r="J109" s="183" t="s">
        <v>61</v>
      </c>
      <c r="K109" s="183" t="s">
        <v>61</v>
      </c>
      <c r="L109" s="183" t="s">
        <v>61</v>
      </c>
      <c r="M109" s="183" t="s">
        <v>61</v>
      </c>
      <c r="N109" s="183" t="s">
        <v>61</v>
      </c>
      <c r="O109" s="150"/>
      <c r="P109" s="177" t="s">
        <v>120</v>
      </c>
      <c r="R109" s="17"/>
    </row>
    <row r="110" spans="1:18" s="6" customFormat="1" ht="12.2" customHeight="1">
      <c r="A110" s="175" t="s">
        <v>34</v>
      </c>
      <c r="B110" s="150"/>
      <c r="C110" s="190"/>
      <c r="D110" s="183" t="s">
        <v>61</v>
      </c>
      <c r="E110" s="183" t="s">
        <v>61</v>
      </c>
      <c r="F110" s="183" t="s">
        <v>61</v>
      </c>
      <c r="G110" s="183" t="s">
        <v>61</v>
      </c>
      <c r="H110" s="183" t="s">
        <v>61</v>
      </c>
      <c r="I110" s="183" t="s">
        <v>61</v>
      </c>
      <c r="J110" s="183" t="s">
        <v>61</v>
      </c>
      <c r="K110" s="183" t="s">
        <v>61</v>
      </c>
      <c r="L110" s="183" t="s">
        <v>61</v>
      </c>
      <c r="M110" s="183" t="s">
        <v>61</v>
      </c>
      <c r="N110" s="183" t="s">
        <v>61</v>
      </c>
      <c r="O110" s="150"/>
      <c r="P110" s="177" t="s">
        <v>35</v>
      </c>
      <c r="R110" s="17"/>
    </row>
    <row r="111" spans="1:18" s="6" customFormat="1" ht="12.2" customHeight="1">
      <c r="A111" s="178" t="s">
        <v>36</v>
      </c>
      <c r="B111" s="150"/>
      <c r="C111" s="190"/>
      <c r="D111" s="183" t="s">
        <v>61</v>
      </c>
      <c r="E111" s="183" t="s">
        <v>61</v>
      </c>
      <c r="F111" s="183" t="s">
        <v>61</v>
      </c>
      <c r="G111" s="183" t="s">
        <v>61</v>
      </c>
      <c r="H111" s="183" t="s">
        <v>61</v>
      </c>
      <c r="I111" s="183" t="s">
        <v>61</v>
      </c>
      <c r="J111" s="183" t="s">
        <v>61</v>
      </c>
      <c r="K111" s="183" t="s">
        <v>61</v>
      </c>
      <c r="L111" s="183" t="s">
        <v>61</v>
      </c>
      <c r="M111" s="183" t="s">
        <v>61</v>
      </c>
      <c r="N111" s="183" t="s">
        <v>61</v>
      </c>
      <c r="O111" s="150"/>
      <c r="P111" s="179" t="s">
        <v>37</v>
      </c>
      <c r="R111" s="17"/>
    </row>
    <row r="112" spans="1:18" s="6" customFormat="1" ht="12.2" customHeight="1">
      <c r="A112" s="178" t="s">
        <v>38</v>
      </c>
      <c r="B112" s="150"/>
      <c r="C112" s="190"/>
      <c r="D112" s="183" t="s">
        <v>61</v>
      </c>
      <c r="E112" s="183" t="s">
        <v>61</v>
      </c>
      <c r="F112" s="183" t="s">
        <v>61</v>
      </c>
      <c r="G112" s="183" t="s">
        <v>61</v>
      </c>
      <c r="H112" s="183" t="s">
        <v>61</v>
      </c>
      <c r="I112" s="183" t="s">
        <v>61</v>
      </c>
      <c r="J112" s="183" t="s">
        <v>61</v>
      </c>
      <c r="K112" s="183" t="s">
        <v>61</v>
      </c>
      <c r="L112" s="183" t="s">
        <v>61</v>
      </c>
      <c r="M112" s="183" t="s">
        <v>61</v>
      </c>
      <c r="N112" s="183" t="s">
        <v>61</v>
      </c>
      <c r="O112" s="150"/>
      <c r="P112" s="177" t="s">
        <v>39</v>
      </c>
      <c r="R112" s="17"/>
    </row>
    <row r="113" spans="1:19" s="6" customFormat="1" ht="12.2" customHeight="1">
      <c r="A113" s="175" t="s">
        <v>40</v>
      </c>
      <c r="B113" s="150"/>
      <c r="C113" s="171"/>
      <c r="D113" s="75">
        <f t="shared" ref="D113:J113" si="23">D114+D115</f>
        <v>27656</v>
      </c>
      <c r="E113" s="75">
        <f t="shared" si="23"/>
        <v>50030</v>
      </c>
      <c r="F113" s="75">
        <f t="shared" si="23"/>
        <v>60615</v>
      </c>
      <c r="G113" s="75">
        <f t="shared" si="23"/>
        <v>76130</v>
      </c>
      <c r="H113" s="75">
        <f t="shared" si="23"/>
        <v>101094</v>
      </c>
      <c r="I113" s="75">
        <f t="shared" si="23"/>
        <v>113280</v>
      </c>
      <c r="J113" s="75">
        <f t="shared" si="23"/>
        <v>136688</v>
      </c>
      <c r="K113" s="75">
        <f>K114+K115</f>
        <v>109625</v>
      </c>
      <c r="L113" s="75">
        <f>L114+L115</f>
        <v>124065</v>
      </c>
      <c r="M113" s="75">
        <f>M114+M115</f>
        <v>153144</v>
      </c>
      <c r="N113" s="183" t="s">
        <v>61</v>
      </c>
      <c r="O113" s="150"/>
      <c r="P113" s="177" t="s">
        <v>41</v>
      </c>
      <c r="R113" s="83"/>
    </row>
    <row r="114" spans="1:19" s="6" customFormat="1" ht="12.2" customHeight="1">
      <c r="A114" s="175" t="s">
        <v>42</v>
      </c>
      <c r="B114" s="150"/>
      <c r="C114" s="171"/>
      <c r="D114" s="75">
        <v>19593</v>
      </c>
      <c r="E114" s="75">
        <v>36319</v>
      </c>
      <c r="F114" s="75">
        <v>46381</v>
      </c>
      <c r="G114" s="75">
        <v>55428</v>
      </c>
      <c r="H114" s="75">
        <v>70748</v>
      </c>
      <c r="I114" s="75">
        <v>80009</v>
      </c>
      <c r="J114" s="75">
        <v>82807</v>
      </c>
      <c r="K114" s="75">
        <v>62194</v>
      </c>
      <c r="L114" s="75">
        <v>70755</v>
      </c>
      <c r="M114" s="75">
        <v>90581</v>
      </c>
      <c r="N114" s="75">
        <v>92402</v>
      </c>
      <c r="O114" s="150"/>
      <c r="P114" s="176" t="s">
        <v>43</v>
      </c>
      <c r="R114" s="17"/>
    </row>
    <row r="115" spans="1:19" s="6" customFormat="1" ht="12.2" customHeight="1">
      <c r="A115" s="175" t="s">
        <v>38</v>
      </c>
      <c r="B115" s="150"/>
      <c r="C115" s="171"/>
      <c r="D115" s="75">
        <f>8063</f>
        <v>8063</v>
      </c>
      <c r="E115" s="75">
        <f>13711</f>
        <v>13711</v>
      </c>
      <c r="F115" s="75">
        <v>14234</v>
      </c>
      <c r="G115" s="75">
        <v>20702</v>
      </c>
      <c r="H115" s="75">
        <v>30346</v>
      </c>
      <c r="I115" s="75">
        <v>33271</v>
      </c>
      <c r="J115" s="75">
        <v>53881</v>
      </c>
      <c r="K115" s="75">
        <v>47431</v>
      </c>
      <c r="L115" s="75">
        <v>53310</v>
      </c>
      <c r="M115" s="75">
        <v>62563</v>
      </c>
      <c r="N115" s="183" t="s">
        <v>61</v>
      </c>
      <c r="O115" s="150"/>
      <c r="P115" s="179" t="s">
        <v>39</v>
      </c>
      <c r="R115" s="17"/>
    </row>
    <row r="116" spans="1:19" s="6" customFormat="1" ht="12.2" customHeight="1">
      <c r="A116" s="175" t="s">
        <v>44</v>
      </c>
      <c r="B116" s="150"/>
      <c r="C116" s="171"/>
      <c r="D116" s="75">
        <f t="shared" ref="D116:J116" si="24">D113+D108</f>
        <v>30563</v>
      </c>
      <c r="E116" s="75">
        <f t="shared" si="24"/>
        <v>55064</v>
      </c>
      <c r="F116" s="75">
        <f t="shared" si="24"/>
        <v>65685</v>
      </c>
      <c r="G116" s="75">
        <f t="shared" si="24"/>
        <v>86063</v>
      </c>
      <c r="H116" s="75">
        <f t="shared" si="24"/>
        <v>117865</v>
      </c>
      <c r="I116" s="75">
        <f t="shared" si="24"/>
        <v>141029</v>
      </c>
      <c r="J116" s="75">
        <f t="shared" si="24"/>
        <v>169142</v>
      </c>
      <c r="K116" s="75">
        <v>127546</v>
      </c>
      <c r="L116" s="75">
        <v>162474</v>
      </c>
      <c r="M116" s="75">
        <v>206273</v>
      </c>
      <c r="N116" s="75">
        <v>218051</v>
      </c>
      <c r="O116" s="150"/>
      <c r="P116" s="179" t="s">
        <v>45</v>
      </c>
      <c r="R116" s="17"/>
    </row>
    <row r="117" spans="1:19" s="6" customFormat="1" ht="20.100000000000001" customHeight="1">
      <c r="A117" s="188" t="s">
        <v>117</v>
      </c>
      <c r="B117" s="188" t="s">
        <v>151</v>
      </c>
      <c r="C117" s="19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 t="s">
        <v>152</v>
      </c>
      <c r="P117" s="189" t="s">
        <v>98</v>
      </c>
    </row>
    <row r="118" spans="1:19" s="6" customFormat="1" ht="12.2" customHeight="1">
      <c r="A118" s="175" t="s">
        <v>32</v>
      </c>
      <c r="B118" s="150"/>
      <c r="C118" s="190"/>
      <c r="D118" s="183" t="s">
        <v>61</v>
      </c>
      <c r="E118" s="183" t="s">
        <v>61</v>
      </c>
      <c r="F118" s="183" t="s">
        <v>61</v>
      </c>
      <c r="G118" s="183" t="s">
        <v>61</v>
      </c>
      <c r="H118" s="183" t="s">
        <v>61</v>
      </c>
      <c r="I118" s="183" t="s">
        <v>61</v>
      </c>
      <c r="J118" s="183" t="s">
        <v>61</v>
      </c>
      <c r="K118" s="183" t="s">
        <v>61</v>
      </c>
      <c r="L118" s="183" t="s">
        <v>61</v>
      </c>
      <c r="M118" s="183" t="s">
        <v>61</v>
      </c>
      <c r="N118" s="183" t="s">
        <v>61</v>
      </c>
      <c r="O118" s="150"/>
      <c r="P118" s="176" t="s">
        <v>33</v>
      </c>
      <c r="R118" s="17"/>
    </row>
    <row r="119" spans="1:19" s="6" customFormat="1" ht="12.2" customHeight="1">
      <c r="A119" s="175" t="s">
        <v>121</v>
      </c>
      <c r="B119" s="150"/>
      <c r="C119" s="192"/>
      <c r="D119" s="183" t="s">
        <v>61</v>
      </c>
      <c r="E119" s="183" t="s">
        <v>61</v>
      </c>
      <c r="F119" s="183" t="s">
        <v>61</v>
      </c>
      <c r="G119" s="183" t="s">
        <v>61</v>
      </c>
      <c r="H119" s="183" t="s">
        <v>61</v>
      </c>
      <c r="I119" s="183" t="s">
        <v>61</v>
      </c>
      <c r="J119" s="183" t="s">
        <v>61</v>
      </c>
      <c r="K119" s="183" t="s">
        <v>61</v>
      </c>
      <c r="L119" s="183" t="s">
        <v>61</v>
      </c>
      <c r="M119" s="183" t="s">
        <v>61</v>
      </c>
      <c r="N119" s="183" t="s">
        <v>61</v>
      </c>
      <c r="O119" s="150"/>
      <c r="P119" s="177" t="s">
        <v>120</v>
      </c>
      <c r="R119" s="17"/>
    </row>
    <row r="120" spans="1:19" s="6" customFormat="1" ht="12.2" customHeight="1">
      <c r="A120" s="175" t="s">
        <v>34</v>
      </c>
      <c r="B120" s="150"/>
      <c r="C120" s="190"/>
      <c r="D120" s="183" t="s">
        <v>61</v>
      </c>
      <c r="E120" s="183" t="s">
        <v>61</v>
      </c>
      <c r="F120" s="183" t="s">
        <v>61</v>
      </c>
      <c r="G120" s="183" t="s">
        <v>61</v>
      </c>
      <c r="H120" s="183" t="s">
        <v>61</v>
      </c>
      <c r="I120" s="183" t="s">
        <v>61</v>
      </c>
      <c r="J120" s="183" t="s">
        <v>61</v>
      </c>
      <c r="K120" s="183" t="s">
        <v>61</v>
      </c>
      <c r="L120" s="183" t="s">
        <v>61</v>
      </c>
      <c r="M120" s="183" t="s">
        <v>61</v>
      </c>
      <c r="N120" s="183" t="s">
        <v>61</v>
      </c>
      <c r="O120" s="150"/>
      <c r="P120" s="177" t="s">
        <v>35</v>
      </c>
      <c r="R120" s="17"/>
    </row>
    <row r="121" spans="1:19" s="6" customFormat="1" ht="12.2" customHeight="1">
      <c r="A121" s="178" t="s">
        <v>36</v>
      </c>
      <c r="B121" s="150"/>
      <c r="C121" s="190"/>
      <c r="D121" s="183" t="s">
        <v>61</v>
      </c>
      <c r="E121" s="183" t="s">
        <v>61</v>
      </c>
      <c r="F121" s="183" t="s">
        <v>61</v>
      </c>
      <c r="G121" s="183" t="s">
        <v>61</v>
      </c>
      <c r="H121" s="183" t="s">
        <v>61</v>
      </c>
      <c r="I121" s="183" t="s">
        <v>61</v>
      </c>
      <c r="J121" s="183" t="s">
        <v>61</v>
      </c>
      <c r="K121" s="183" t="s">
        <v>61</v>
      </c>
      <c r="L121" s="183" t="s">
        <v>61</v>
      </c>
      <c r="M121" s="183" t="s">
        <v>61</v>
      </c>
      <c r="N121" s="183" t="s">
        <v>61</v>
      </c>
      <c r="O121" s="150"/>
      <c r="P121" s="179" t="s">
        <v>37</v>
      </c>
      <c r="R121" s="17"/>
    </row>
    <row r="122" spans="1:19" s="6" customFormat="1" ht="12.2" customHeight="1">
      <c r="A122" s="178" t="s">
        <v>38</v>
      </c>
      <c r="B122" s="150"/>
      <c r="C122" s="190"/>
      <c r="D122" s="183" t="s">
        <v>61</v>
      </c>
      <c r="E122" s="183" t="s">
        <v>61</v>
      </c>
      <c r="F122" s="183" t="s">
        <v>61</v>
      </c>
      <c r="G122" s="183" t="s">
        <v>61</v>
      </c>
      <c r="H122" s="183" t="s">
        <v>61</v>
      </c>
      <c r="I122" s="183" t="s">
        <v>61</v>
      </c>
      <c r="J122" s="183" t="s">
        <v>61</v>
      </c>
      <c r="K122" s="183" t="s">
        <v>61</v>
      </c>
      <c r="L122" s="183" t="s">
        <v>61</v>
      </c>
      <c r="M122" s="183" t="s">
        <v>61</v>
      </c>
      <c r="N122" s="183" t="s">
        <v>61</v>
      </c>
      <c r="O122" s="150"/>
      <c r="P122" s="177" t="s">
        <v>39</v>
      </c>
      <c r="R122" s="17"/>
    </row>
    <row r="123" spans="1:19" s="6" customFormat="1" ht="12.2" customHeight="1">
      <c r="A123" s="175" t="s">
        <v>40</v>
      </c>
      <c r="B123" s="150"/>
      <c r="C123" s="171"/>
      <c r="D123" s="75">
        <f>D126</f>
        <v>293000</v>
      </c>
      <c r="E123" s="75">
        <f>E126</f>
        <v>392291</v>
      </c>
      <c r="F123" s="75">
        <f>F126</f>
        <v>564335</v>
      </c>
      <c r="G123" s="75">
        <f>G126</f>
        <v>673682</v>
      </c>
      <c r="H123" s="75">
        <f>H126</f>
        <v>642800</v>
      </c>
      <c r="I123" s="75">
        <v>1100993</v>
      </c>
      <c r="J123" s="75">
        <v>509805</v>
      </c>
      <c r="K123" s="75">
        <v>741616</v>
      </c>
      <c r="L123" s="75">
        <v>1117792</v>
      </c>
      <c r="M123" s="197">
        <v>1247398</v>
      </c>
      <c r="N123" s="183" t="s">
        <v>61</v>
      </c>
      <c r="O123" s="150"/>
      <c r="P123" s="177" t="s">
        <v>41</v>
      </c>
      <c r="R123" s="17"/>
    </row>
    <row r="124" spans="1:19" s="6" customFormat="1" ht="12.2" customHeight="1">
      <c r="A124" s="175" t="s">
        <v>42</v>
      </c>
      <c r="B124" s="150"/>
      <c r="C124" s="171"/>
      <c r="D124" s="75">
        <v>231000</v>
      </c>
      <c r="E124" s="75">
        <v>330000</v>
      </c>
      <c r="F124" s="75">
        <v>504540</v>
      </c>
      <c r="G124" s="75">
        <v>604470</v>
      </c>
      <c r="H124" s="75">
        <v>562186</v>
      </c>
      <c r="I124" s="75">
        <v>983369</v>
      </c>
      <c r="J124" s="75">
        <v>434420</v>
      </c>
      <c r="K124" s="75">
        <v>670265</v>
      </c>
      <c r="L124" s="75">
        <v>1034360</v>
      </c>
      <c r="M124" s="75">
        <v>1144818</v>
      </c>
      <c r="N124" s="183" t="s">
        <v>61</v>
      </c>
      <c r="O124" s="150"/>
      <c r="P124" s="176" t="s">
        <v>43</v>
      </c>
      <c r="R124" s="84"/>
      <c r="S124" s="44"/>
    </row>
    <row r="125" spans="1:19" s="6" customFormat="1" ht="12.2" customHeight="1">
      <c r="A125" s="175" t="s">
        <v>38</v>
      </c>
      <c r="B125" s="150"/>
      <c r="C125" s="171"/>
      <c r="D125" s="75">
        <v>62000</v>
      </c>
      <c r="E125" s="75">
        <v>62291</v>
      </c>
      <c r="F125" s="75">
        <v>59795</v>
      </c>
      <c r="G125" s="75">
        <v>69212</v>
      </c>
      <c r="H125" s="75">
        <v>80614</v>
      </c>
      <c r="I125" s="75">
        <v>117624</v>
      </c>
      <c r="J125" s="75">
        <v>75385</v>
      </c>
      <c r="K125" s="75">
        <v>71351</v>
      </c>
      <c r="L125" s="75">
        <v>83432</v>
      </c>
      <c r="M125" s="75">
        <v>102580</v>
      </c>
      <c r="N125" s="183" t="s">
        <v>61</v>
      </c>
      <c r="O125" s="150"/>
      <c r="P125" s="179" t="s">
        <v>39</v>
      </c>
      <c r="R125" s="17"/>
    </row>
    <row r="126" spans="1:19" s="6" customFormat="1" ht="12.2" customHeight="1">
      <c r="A126" s="175" t="s">
        <v>44</v>
      </c>
      <c r="B126" s="150"/>
      <c r="C126" s="171"/>
      <c r="D126" s="75">
        <f t="shared" ref="D126:J126" si="25">D124+D125</f>
        <v>293000</v>
      </c>
      <c r="E126" s="75">
        <f t="shared" si="25"/>
        <v>392291</v>
      </c>
      <c r="F126" s="75">
        <f t="shared" si="25"/>
        <v>564335</v>
      </c>
      <c r="G126" s="75">
        <f t="shared" si="25"/>
        <v>673682</v>
      </c>
      <c r="H126" s="75">
        <f t="shared" si="25"/>
        <v>642800</v>
      </c>
      <c r="I126" s="75">
        <f t="shared" si="25"/>
        <v>1100993</v>
      </c>
      <c r="J126" s="75">
        <f t="shared" si="25"/>
        <v>509805</v>
      </c>
      <c r="K126" s="75">
        <f>K124+K125</f>
        <v>741616</v>
      </c>
      <c r="L126" s="75">
        <v>1117792</v>
      </c>
      <c r="M126" s="197">
        <v>1247398</v>
      </c>
      <c r="N126" s="183" t="s">
        <v>61</v>
      </c>
      <c r="O126" s="150"/>
      <c r="P126" s="179" t="s">
        <v>45</v>
      </c>
      <c r="R126" s="17"/>
    </row>
    <row r="127" spans="1:19" s="6" customFormat="1" ht="20.25" customHeight="1">
      <c r="A127" s="188" t="s">
        <v>140</v>
      </c>
      <c r="B127" s="188" t="s">
        <v>146</v>
      </c>
      <c r="C127" s="171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73" t="s">
        <v>147</v>
      </c>
      <c r="P127" s="174" t="s">
        <v>14</v>
      </c>
      <c r="R127" s="17"/>
    </row>
    <row r="128" spans="1:19" s="6" customFormat="1" ht="12.2" customHeight="1">
      <c r="A128" s="175" t="s">
        <v>32</v>
      </c>
      <c r="B128" s="150"/>
      <c r="C128" s="171"/>
      <c r="D128" s="183"/>
      <c r="E128" s="75">
        <v>4203</v>
      </c>
      <c r="F128" s="75">
        <v>5002</v>
      </c>
      <c r="G128" s="75">
        <v>5881</v>
      </c>
      <c r="H128" s="75">
        <v>6530</v>
      </c>
      <c r="I128" s="75">
        <v>7680.3</v>
      </c>
      <c r="J128" s="75">
        <v>8655.7999999999993</v>
      </c>
      <c r="K128" s="75">
        <v>10008.6</v>
      </c>
      <c r="L128" s="183">
        <v>11183.3</v>
      </c>
      <c r="M128" s="75">
        <v>15567.4</v>
      </c>
      <c r="N128" s="75">
        <v>24133.7</v>
      </c>
      <c r="O128" s="150"/>
      <c r="P128" s="176" t="s">
        <v>33</v>
      </c>
      <c r="R128" s="17"/>
    </row>
    <row r="129" spans="1:18" s="6" customFormat="1" ht="12.2" customHeight="1">
      <c r="A129" s="175" t="s">
        <v>121</v>
      </c>
      <c r="B129" s="150"/>
      <c r="C129" s="171"/>
      <c r="D129" s="183"/>
      <c r="E129" s="75" t="s">
        <v>61</v>
      </c>
      <c r="F129" s="75" t="s">
        <v>61</v>
      </c>
      <c r="G129" s="75" t="s">
        <v>61</v>
      </c>
      <c r="H129" s="75" t="s">
        <v>61</v>
      </c>
      <c r="I129" s="75" t="s">
        <v>61</v>
      </c>
      <c r="J129" s="75" t="s">
        <v>61</v>
      </c>
      <c r="K129" s="75" t="s">
        <v>61</v>
      </c>
      <c r="L129" s="183">
        <f>1061.5+37.3</f>
        <v>1098.8</v>
      </c>
      <c r="M129" s="75">
        <f>1432.6+46.7</f>
        <v>1479.3</v>
      </c>
      <c r="N129" s="75">
        <f>1713.6+19</f>
        <v>1732.6</v>
      </c>
      <c r="O129" s="150"/>
      <c r="P129" s="177" t="s">
        <v>120</v>
      </c>
      <c r="R129" s="17"/>
    </row>
    <row r="130" spans="1:18" s="6" customFormat="1" ht="12.2" customHeight="1">
      <c r="A130" s="175" t="s">
        <v>34</v>
      </c>
      <c r="B130" s="150"/>
      <c r="C130" s="171"/>
      <c r="D130" s="183"/>
      <c r="E130" s="75" t="s">
        <v>61</v>
      </c>
      <c r="F130" s="75" t="s">
        <v>61</v>
      </c>
      <c r="G130" s="75" t="s">
        <v>61</v>
      </c>
      <c r="H130" s="75" t="s">
        <v>61</v>
      </c>
      <c r="I130" s="75" t="s">
        <v>61</v>
      </c>
      <c r="J130" s="75" t="s">
        <v>61</v>
      </c>
      <c r="K130" s="75" t="s">
        <v>61</v>
      </c>
      <c r="L130" s="183">
        <v>6634.4</v>
      </c>
      <c r="M130" s="75">
        <v>9391.1</v>
      </c>
      <c r="N130" s="75">
        <v>15518.4</v>
      </c>
      <c r="O130" s="150"/>
      <c r="P130" s="177" t="s">
        <v>35</v>
      </c>
      <c r="R130" s="17"/>
    </row>
    <row r="131" spans="1:18" s="6" customFormat="1" ht="12.2" customHeight="1">
      <c r="A131" s="178" t="s">
        <v>36</v>
      </c>
      <c r="B131" s="150"/>
      <c r="C131" s="171"/>
      <c r="D131" s="183"/>
      <c r="E131" s="75" t="s">
        <v>61</v>
      </c>
      <c r="F131" s="75" t="s">
        <v>61</v>
      </c>
      <c r="G131" s="75" t="s">
        <v>61</v>
      </c>
      <c r="H131" s="75" t="s">
        <v>61</v>
      </c>
      <c r="I131" s="75" t="s">
        <v>61</v>
      </c>
      <c r="J131" s="75" t="s">
        <v>61</v>
      </c>
      <c r="K131" s="75" t="s">
        <v>61</v>
      </c>
      <c r="L131" s="183">
        <v>3441.4</v>
      </c>
      <c r="M131" s="75">
        <v>4688.2</v>
      </c>
      <c r="N131" s="75">
        <v>6824.5</v>
      </c>
      <c r="O131" s="150"/>
      <c r="P131" s="179" t="s">
        <v>37</v>
      </c>
      <c r="R131" s="17"/>
    </row>
    <row r="132" spans="1:18" s="6" customFormat="1" ht="12.2" customHeight="1">
      <c r="A132" s="178" t="s">
        <v>38</v>
      </c>
      <c r="B132" s="150"/>
      <c r="C132" s="171"/>
      <c r="D132" s="183"/>
      <c r="E132" s="75" t="s">
        <v>61</v>
      </c>
      <c r="F132" s="75" t="s">
        <v>61</v>
      </c>
      <c r="G132" s="75" t="s">
        <v>61</v>
      </c>
      <c r="H132" s="75" t="s">
        <v>61</v>
      </c>
      <c r="I132" s="75" t="s">
        <v>61</v>
      </c>
      <c r="J132" s="75" t="s">
        <v>61</v>
      </c>
      <c r="K132" s="75" t="s">
        <v>61</v>
      </c>
      <c r="L132" s="183">
        <v>8.6999999999999993</v>
      </c>
      <c r="M132" s="75">
        <v>8.8000000000000007</v>
      </c>
      <c r="N132" s="75">
        <f>58.1</f>
        <v>58.1</v>
      </c>
      <c r="O132" s="150"/>
      <c r="P132" s="177" t="s">
        <v>39</v>
      </c>
      <c r="R132" s="48"/>
    </row>
    <row r="133" spans="1:18" s="6" customFormat="1" ht="12.2" customHeight="1">
      <c r="A133" s="175" t="s">
        <v>40</v>
      </c>
      <c r="B133" s="150"/>
      <c r="C133" s="171"/>
      <c r="D133" s="183"/>
      <c r="E133" s="75">
        <v>6036</v>
      </c>
      <c r="F133" s="75">
        <v>7177</v>
      </c>
      <c r="G133" s="75">
        <v>9194</v>
      </c>
      <c r="H133" s="75">
        <v>11411</v>
      </c>
      <c r="I133" s="75">
        <f>16593.6+434</f>
        <v>17027.599999999999</v>
      </c>
      <c r="J133" s="75">
        <f>10592.5+797.3</f>
        <v>11389.8</v>
      </c>
      <c r="K133" s="75">
        <f>9544.5+1184.8</f>
        <v>10729.3</v>
      </c>
      <c r="L133" s="183">
        <f>10272.4+1311.2</f>
        <v>11583.6</v>
      </c>
      <c r="M133" s="75">
        <f>5685.6+915.1</f>
        <v>6600.7000000000007</v>
      </c>
      <c r="N133" s="75">
        <f>8145.2+2032.6</f>
        <v>10177.799999999999</v>
      </c>
      <c r="O133" s="150"/>
      <c r="P133" s="177" t="s">
        <v>41</v>
      </c>
      <c r="R133" s="17"/>
    </row>
    <row r="134" spans="1:18" s="6" customFormat="1" ht="12.2" customHeight="1">
      <c r="A134" s="175" t="s">
        <v>42</v>
      </c>
      <c r="B134" s="150"/>
      <c r="C134" s="171"/>
      <c r="D134" s="183"/>
      <c r="E134" s="75" t="s">
        <v>61</v>
      </c>
      <c r="F134" s="75" t="s">
        <v>61</v>
      </c>
      <c r="G134" s="75" t="s">
        <v>61</v>
      </c>
      <c r="H134" s="75" t="s">
        <v>61</v>
      </c>
      <c r="I134" s="75" t="s">
        <v>61</v>
      </c>
      <c r="J134" s="75" t="s">
        <v>61</v>
      </c>
      <c r="K134" s="75" t="s">
        <v>61</v>
      </c>
      <c r="L134" s="183" t="s">
        <v>61</v>
      </c>
      <c r="M134" s="75">
        <v>4241</v>
      </c>
      <c r="N134" s="75">
        <v>6368.8</v>
      </c>
      <c r="O134" s="150"/>
      <c r="P134" s="176" t="s">
        <v>43</v>
      </c>
      <c r="R134" s="17"/>
    </row>
    <row r="135" spans="1:18" s="6" customFormat="1" ht="12.2" customHeight="1">
      <c r="A135" s="175" t="s">
        <v>38</v>
      </c>
      <c r="B135" s="150"/>
      <c r="C135" s="171"/>
      <c r="D135" s="183"/>
      <c r="E135" s="75" t="s">
        <v>61</v>
      </c>
      <c r="F135" s="75" t="s">
        <v>61</v>
      </c>
      <c r="G135" s="75" t="s">
        <v>61</v>
      </c>
      <c r="H135" s="75" t="s">
        <v>61</v>
      </c>
      <c r="I135" s="75" t="s">
        <v>61</v>
      </c>
      <c r="J135" s="75" t="s">
        <v>61</v>
      </c>
      <c r="K135" s="75" t="s">
        <v>61</v>
      </c>
      <c r="L135" s="183" t="s">
        <v>61</v>
      </c>
      <c r="M135" s="75">
        <v>1445</v>
      </c>
      <c r="N135" s="75">
        <v>1776.4</v>
      </c>
      <c r="O135" s="150"/>
      <c r="P135" s="179" t="s">
        <v>39</v>
      </c>
      <c r="R135" s="17"/>
    </row>
    <row r="136" spans="1:18" s="6" customFormat="1" ht="12.2" customHeight="1">
      <c r="A136" s="175" t="s">
        <v>44</v>
      </c>
      <c r="B136" s="150"/>
      <c r="C136" s="171"/>
      <c r="D136" s="183"/>
      <c r="E136" s="75">
        <f t="shared" ref="E136:K136" si="26">E128+E133</f>
        <v>10239</v>
      </c>
      <c r="F136" s="75">
        <f t="shared" si="26"/>
        <v>12179</v>
      </c>
      <c r="G136" s="75">
        <f t="shared" si="26"/>
        <v>15075</v>
      </c>
      <c r="H136" s="75">
        <f t="shared" si="26"/>
        <v>17941</v>
      </c>
      <c r="I136" s="75">
        <f t="shared" si="26"/>
        <v>24707.899999999998</v>
      </c>
      <c r="J136" s="75">
        <f t="shared" si="26"/>
        <v>20045.599999999999</v>
      </c>
      <c r="K136" s="75">
        <f t="shared" si="26"/>
        <v>20737.900000000001</v>
      </c>
      <c r="L136" s="75">
        <v>22767</v>
      </c>
      <c r="M136" s="75">
        <v>22168</v>
      </c>
      <c r="N136" s="75">
        <v>34311.5</v>
      </c>
      <c r="O136" s="150"/>
      <c r="P136" s="179" t="s">
        <v>45</v>
      </c>
      <c r="R136" s="17"/>
    </row>
    <row r="137" spans="1:18" s="6" customFormat="1" ht="20.100000000000001" customHeight="1">
      <c r="A137" s="188" t="s">
        <v>118</v>
      </c>
      <c r="B137" s="188" t="s">
        <v>146</v>
      </c>
      <c r="C137" s="193"/>
      <c r="D137" s="173"/>
      <c r="E137" s="173"/>
      <c r="F137" s="173"/>
      <c r="G137" s="173"/>
      <c r="H137" s="173"/>
      <c r="I137" s="173"/>
      <c r="J137" s="173"/>
      <c r="K137" s="198"/>
      <c r="L137" s="198"/>
      <c r="M137" s="198"/>
      <c r="N137" s="198"/>
      <c r="O137" s="173" t="s">
        <v>155</v>
      </c>
      <c r="P137" s="189" t="s">
        <v>110</v>
      </c>
    </row>
    <row r="138" spans="1:18" s="6" customFormat="1" ht="12.2" customHeight="1">
      <c r="A138" s="175" t="s">
        <v>32</v>
      </c>
      <c r="B138" s="150"/>
      <c r="C138" s="190"/>
      <c r="D138" s="75">
        <v>117403</v>
      </c>
      <c r="E138" s="75">
        <v>145256.5</v>
      </c>
      <c r="F138" s="75">
        <v>159515.6</v>
      </c>
      <c r="G138" s="75">
        <v>196332</v>
      </c>
      <c r="H138" s="75">
        <v>221424</v>
      </c>
      <c r="I138" s="75">
        <v>258048</v>
      </c>
      <c r="J138" s="75">
        <v>240640</v>
      </c>
      <c r="K138" s="75">
        <v>278428</v>
      </c>
      <c r="L138" s="75" t="s">
        <v>61</v>
      </c>
      <c r="M138" s="75" t="s">
        <v>61</v>
      </c>
      <c r="N138" s="75" t="s">
        <v>61</v>
      </c>
      <c r="O138" s="150"/>
      <c r="P138" s="176" t="s">
        <v>33</v>
      </c>
      <c r="R138" s="17"/>
    </row>
    <row r="139" spans="1:18" s="6" customFormat="1" ht="13.5" customHeight="1">
      <c r="A139" s="175" t="s">
        <v>121</v>
      </c>
      <c r="B139" s="150"/>
      <c r="C139" s="192"/>
      <c r="D139" s="183" t="s">
        <v>61</v>
      </c>
      <c r="E139" s="183" t="s">
        <v>61</v>
      </c>
      <c r="F139" s="183" t="s">
        <v>61</v>
      </c>
      <c r="G139" s="183">
        <v>65022</v>
      </c>
      <c r="H139" s="75">
        <v>74212</v>
      </c>
      <c r="I139" s="75">
        <v>88639</v>
      </c>
      <c r="J139" s="75">
        <f>136130+8000+3580</f>
        <v>147710</v>
      </c>
      <c r="K139" s="75">
        <f>148200+9000+4290</f>
        <v>161490</v>
      </c>
      <c r="L139" s="75" t="s">
        <v>61</v>
      </c>
      <c r="M139" s="75" t="s">
        <v>61</v>
      </c>
      <c r="N139" s="75" t="s">
        <v>61</v>
      </c>
      <c r="O139" s="150"/>
      <c r="P139" s="177" t="s">
        <v>122</v>
      </c>
      <c r="R139" s="17"/>
    </row>
    <row r="140" spans="1:18" s="6" customFormat="1" ht="12.2" customHeight="1">
      <c r="A140" s="175" t="s">
        <v>34</v>
      </c>
      <c r="B140" s="150"/>
      <c r="C140" s="190"/>
      <c r="D140" s="183" t="s">
        <v>61</v>
      </c>
      <c r="E140" s="183" t="s">
        <v>61</v>
      </c>
      <c r="F140" s="183" t="s">
        <v>61</v>
      </c>
      <c r="G140" s="183">
        <v>6566</v>
      </c>
      <c r="H140" s="75">
        <v>9145</v>
      </c>
      <c r="I140" s="75">
        <v>16610</v>
      </c>
      <c r="J140" s="75">
        <v>55301</v>
      </c>
      <c r="K140" s="75">
        <v>74201</v>
      </c>
      <c r="L140" s="75" t="s">
        <v>61</v>
      </c>
      <c r="M140" s="75" t="s">
        <v>61</v>
      </c>
      <c r="N140" s="75" t="s">
        <v>61</v>
      </c>
      <c r="O140" s="150"/>
      <c r="P140" s="177" t="s">
        <v>35</v>
      </c>
      <c r="R140" s="17"/>
    </row>
    <row r="141" spans="1:18" s="6" customFormat="1" ht="12.2" customHeight="1">
      <c r="A141" s="178" t="s">
        <v>36</v>
      </c>
      <c r="B141" s="150"/>
      <c r="C141" s="190"/>
      <c r="D141" s="183" t="s">
        <v>61</v>
      </c>
      <c r="E141" s="183" t="s">
        <v>61</v>
      </c>
      <c r="F141" s="183" t="s">
        <v>61</v>
      </c>
      <c r="G141" s="183">
        <v>32877</v>
      </c>
      <c r="H141" s="75">
        <v>33405</v>
      </c>
      <c r="I141" s="75">
        <v>33112</v>
      </c>
      <c r="J141" s="75">
        <v>26105</v>
      </c>
      <c r="K141" s="75">
        <v>29100</v>
      </c>
      <c r="L141" s="75" t="s">
        <v>61</v>
      </c>
      <c r="M141" s="75" t="s">
        <v>61</v>
      </c>
      <c r="N141" s="75" t="s">
        <v>61</v>
      </c>
      <c r="O141" s="150"/>
      <c r="P141" s="179" t="s">
        <v>37</v>
      </c>
      <c r="R141" s="17"/>
    </row>
    <row r="142" spans="1:18" s="6" customFormat="1" ht="12.2" customHeight="1">
      <c r="A142" s="199" t="s">
        <v>38</v>
      </c>
      <c r="B142" s="150"/>
      <c r="C142" s="190"/>
      <c r="D142" s="183" t="s">
        <v>61</v>
      </c>
      <c r="E142" s="183" t="s">
        <v>61</v>
      </c>
      <c r="F142" s="183" t="s">
        <v>61</v>
      </c>
      <c r="G142" s="183">
        <v>91867</v>
      </c>
      <c r="H142" s="75">
        <v>104662</v>
      </c>
      <c r="I142" s="75">
        <v>119687</v>
      </c>
      <c r="J142" s="75">
        <v>118312</v>
      </c>
      <c r="K142" s="75">
        <v>13637</v>
      </c>
      <c r="L142" s="75" t="s">
        <v>61</v>
      </c>
      <c r="M142" s="75" t="s">
        <v>61</v>
      </c>
      <c r="N142" s="75" t="s">
        <v>61</v>
      </c>
      <c r="O142" s="150"/>
      <c r="P142" s="177" t="s">
        <v>39</v>
      </c>
      <c r="R142" s="51"/>
    </row>
    <row r="143" spans="1:18" s="6" customFormat="1" ht="12.2" customHeight="1">
      <c r="A143" s="175" t="s">
        <v>40</v>
      </c>
      <c r="B143" s="150"/>
      <c r="C143" s="171"/>
      <c r="D143" s="75">
        <f>SUM(D144:D145)</f>
        <v>203854.3</v>
      </c>
      <c r="E143" s="75">
        <f>SUM(E144:E145)</f>
        <v>197043.6</v>
      </c>
      <c r="F143" s="75">
        <f>SUM(F144:F145)</f>
        <v>195294.8</v>
      </c>
      <c r="G143" s="75">
        <f>SUM(G144:G145)</f>
        <v>238533</v>
      </c>
      <c r="H143" s="75">
        <f>SUM(H144:H145)</f>
        <v>237147</v>
      </c>
      <c r="I143" s="75">
        <f>I146-I138</f>
        <v>232856</v>
      </c>
      <c r="J143" s="75">
        <f>J146-J138</f>
        <v>360190</v>
      </c>
      <c r="K143" s="75">
        <f>K146-K138</f>
        <v>475572</v>
      </c>
      <c r="L143" s="75" t="s">
        <v>61</v>
      </c>
      <c r="M143" s="75" t="s">
        <v>61</v>
      </c>
      <c r="N143" s="75" t="s">
        <v>61</v>
      </c>
      <c r="O143" s="150"/>
      <c r="P143" s="177" t="s">
        <v>41</v>
      </c>
      <c r="R143" s="17"/>
    </row>
    <row r="144" spans="1:18" s="6" customFormat="1" ht="12.2" customHeight="1">
      <c r="A144" s="175" t="s">
        <v>42</v>
      </c>
      <c r="B144" s="150"/>
      <c r="C144" s="171"/>
      <c r="D144" s="75">
        <v>161162.29999999999</v>
      </c>
      <c r="E144" s="75">
        <v>141467.20000000001</v>
      </c>
      <c r="F144" s="75">
        <v>105846.8</v>
      </c>
      <c r="G144" s="75">
        <v>126987</v>
      </c>
      <c r="H144" s="75">
        <v>99634</v>
      </c>
      <c r="I144" s="75">
        <v>131361</v>
      </c>
      <c r="J144" s="75">
        <v>128229</v>
      </c>
      <c r="K144" s="75" t="s">
        <v>61</v>
      </c>
      <c r="L144" s="75" t="s">
        <v>61</v>
      </c>
      <c r="M144" s="75" t="s">
        <v>61</v>
      </c>
      <c r="N144" s="75" t="s">
        <v>61</v>
      </c>
      <c r="O144" s="150"/>
      <c r="P144" s="176" t="s">
        <v>43</v>
      </c>
      <c r="R144" s="17"/>
    </row>
    <row r="145" spans="1:20" s="6" customFormat="1" ht="12.2" customHeight="1">
      <c r="A145" s="175" t="s">
        <v>38</v>
      </c>
      <c r="B145" s="150"/>
      <c r="C145" s="171"/>
      <c r="D145" s="75">
        <v>42692</v>
      </c>
      <c r="E145" s="75">
        <v>55576.4</v>
      </c>
      <c r="F145" s="75">
        <v>89448</v>
      </c>
      <c r="G145" s="75">
        <v>111546</v>
      </c>
      <c r="H145" s="75">
        <v>137513</v>
      </c>
      <c r="I145" s="75">
        <v>101495</v>
      </c>
      <c r="J145" s="75">
        <v>182444</v>
      </c>
      <c r="K145" s="75" t="s">
        <v>61</v>
      </c>
      <c r="L145" s="75" t="s">
        <v>61</v>
      </c>
      <c r="M145" s="75" t="s">
        <v>61</v>
      </c>
      <c r="N145" s="75" t="s">
        <v>61</v>
      </c>
      <c r="O145" s="150"/>
      <c r="P145" s="179" t="s">
        <v>39</v>
      </c>
      <c r="R145" s="17"/>
    </row>
    <row r="146" spans="1:20" s="6" customFormat="1" ht="12.2" customHeight="1">
      <c r="A146" s="175" t="s">
        <v>44</v>
      </c>
      <c r="B146" s="150"/>
      <c r="C146" s="171"/>
      <c r="D146" s="75">
        <f>D138+D143</f>
        <v>321257.3</v>
      </c>
      <c r="E146" s="75">
        <f>E138+E143</f>
        <v>342300.1</v>
      </c>
      <c r="F146" s="75">
        <f>F138+F143</f>
        <v>354810.4</v>
      </c>
      <c r="G146" s="75">
        <f>G138+G143</f>
        <v>434865</v>
      </c>
      <c r="H146" s="75">
        <f>H138+H143</f>
        <v>458571</v>
      </c>
      <c r="I146" s="75">
        <v>490904</v>
      </c>
      <c r="J146" s="75">
        <v>600830</v>
      </c>
      <c r="K146" s="75">
        <v>754000</v>
      </c>
      <c r="L146" s="75" t="s">
        <v>61</v>
      </c>
      <c r="M146" s="75" t="s">
        <v>61</v>
      </c>
      <c r="N146" s="75" t="s">
        <v>61</v>
      </c>
      <c r="O146" s="150"/>
      <c r="P146" s="179" t="s">
        <v>45</v>
      </c>
      <c r="R146" s="17"/>
      <c r="S146" s="17"/>
      <c r="T146" s="17"/>
    </row>
    <row r="147" spans="1:20" s="6" customFormat="1" ht="26.25" customHeight="1">
      <c r="A147" s="165" t="s">
        <v>212</v>
      </c>
      <c r="B147" s="188" t="s">
        <v>218</v>
      </c>
      <c r="C147" s="171"/>
      <c r="D147" s="183"/>
      <c r="E147" s="75"/>
      <c r="F147" s="75"/>
      <c r="G147" s="75"/>
      <c r="H147" s="172" t="s">
        <v>207</v>
      </c>
      <c r="I147" s="200"/>
      <c r="J147" s="75"/>
      <c r="K147" s="75"/>
      <c r="L147" s="183"/>
      <c r="M147" s="181"/>
      <c r="N147" s="181"/>
      <c r="O147" s="173" t="s">
        <v>145</v>
      </c>
      <c r="P147" s="174" t="s">
        <v>213</v>
      </c>
      <c r="R147" s="17"/>
      <c r="S147" s="17"/>
      <c r="T147" s="17"/>
    </row>
    <row r="148" spans="1:20" s="6" customFormat="1" ht="12.2" customHeight="1">
      <c r="A148" s="175" t="s">
        <v>32</v>
      </c>
      <c r="B148" s="150"/>
      <c r="C148" s="190"/>
      <c r="D148" s="75">
        <v>117403</v>
      </c>
      <c r="E148" s="75">
        <v>145256.5</v>
      </c>
      <c r="F148" s="75">
        <v>159515.6</v>
      </c>
      <c r="G148" s="75">
        <v>196332</v>
      </c>
      <c r="H148" s="75">
        <v>221424</v>
      </c>
      <c r="I148" s="75" t="s">
        <v>61</v>
      </c>
      <c r="J148" s="75">
        <v>11685.2</v>
      </c>
      <c r="K148" s="75">
        <v>12698.7</v>
      </c>
      <c r="L148" s="75">
        <v>13667.8</v>
      </c>
      <c r="M148" s="75">
        <v>14864</v>
      </c>
      <c r="N148" s="75">
        <v>16333.5</v>
      </c>
      <c r="O148" s="150"/>
      <c r="P148" s="176" t="s">
        <v>33</v>
      </c>
      <c r="R148" s="17"/>
      <c r="S148" s="17"/>
      <c r="T148" s="17"/>
    </row>
    <row r="149" spans="1:20" s="6" customFormat="1" ht="13.5" customHeight="1">
      <c r="A149" s="175" t="s">
        <v>121</v>
      </c>
      <c r="B149" s="150"/>
      <c r="C149" s="192"/>
      <c r="D149" s="183" t="s">
        <v>61</v>
      </c>
      <c r="E149" s="183" t="s">
        <v>61</v>
      </c>
      <c r="F149" s="183" t="s">
        <v>61</v>
      </c>
      <c r="G149" s="183">
        <v>65022</v>
      </c>
      <c r="H149" s="75">
        <v>74212</v>
      </c>
      <c r="I149" s="75" t="s">
        <v>61</v>
      </c>
      <c r="J149" s="75">
        <v>4645.3999999999996</v>
      </c>
      <c r="K149" s="75">
        <v>5032.7</v>
      </c>
      <c r="L149" s="75">
        <v>5935.6</v>
      </c>
      <c r="M149" s="75">
        <v>6089.2</v>
      </c>
      <c r="N149" s="75">
        <v>7117.7</v>
      </c>
      <c r="O149" s="150"/>
      <c r="P149" s="177" t="s">
        <v>122</v>
      </c>
      <c r="R149" s="75"/>
      <c r="S149" s="75"/>
      <c r="T149" s="75"/>
    </row>
    <row r="150" spans="1:20" s="6" customFormat="1" ht="12.2" customHeight="1">
      <c r="A150" s="175" t="s">
        <v>34</v>
      </c>
      <c r="B150" s="150"/>
      <c r="C150" s="190"/>
      <c r="D150" s="183" t="s">
        <v>61</v>
      </c>
      <c r="E150" s="183" t="s">
        <v>61</v>
      </c>
      <c r="F150" s="183" t="s">
        <v>61</v>
      </c>
      <c r="G150" s="183">
        <v>6566</v>
      </c>
      <c r="H150" s="75">
        <v>9145</v>
      </c>
      <c r="I150" s="75" t="s">
        <v>61</v>
      </c>
      <c r="J150" s="75">
        <v>3399.7</v>
      </c>
      <c r="K150" s="75">
        <v>3749.8</v>
      </c>
      <c r="L150" s="75">
        <v>3818.2</v>
      </c>
      <c r="M150" s="75">
        <v>4375.8</v>
      </c>
      <c r="N150" s="75">
        <v>4449.3</v>
      </c>
      <c r="O150" s="150"/>
      <c r="P150" s="177" t="s">
        <v>35</v>
      </c>
      <c r="R150" s="118"/>
      <c r="S150" s="118"/>
      <c r="T150" s="118"/>
    </row>
    <row r="151" spans="1:20" s="6" customFormat="1" ht="12.2" customHeight="1">
      <c r="A151" s="178" t="s">
        <v>36</v>
      </c>
      <c r="B151" s="150"/>
      <c r="C151" s="190"/>
      <c r="D151" s="183" t="s">
        <v>61</v>
      </c>
      <c r="E151" s="183" t="s">
        <v>61</v>
      </c>
      <c r="F151" s="183" t="s">
        <v>61</v>
      </c>
      <c r="G151" s="183">
        <v>32877</v>
      </c>
      <c r="H151" s="75">
        <v>33405</v>
      </c>
      <c r="I151" s="75" t="s">
        <v>61</v>
      </c>
      <c r="J151" s="75">
        <v>2116.5</v>
      </c>
      <c r="K151" s="75">
        <v>1563.3</v>
      </c>
      <c r="L151" s="75">
        <v>1511.9</v>
      </c>
      <c r="M151" s="75">
        <v>1597.6</v>
      </c>
      <c r="N151" s="75">
        <v>1547.2</v>
      </c>
      <c r="O151" s="150"/>
      <c r="P151" s="179" t="s">
        <v>37</v>
      </c>
      <c r="R151" s="17"/>
    </row>
    <row r="152" spans="1:20" s="6" customFormat="1" ht="12.2" customHeight="1">
      <c r="A152" s="199" t="s">
        <v>38</v>
      </c>
      <c r="B152" s="150"/>
      <c r="C152" s="190"/>
      <c r="D152" s="183" t="s">
        <v>61</v>
      </c>
      <c r="E152" s="183" t="s">
        <v>61</v>
      </c>
      <c r="F152" s="183" t="s">
        <v>61</v>
      </c>
      <c r="G152" s="183">
        <v>91867</v>
      </c>
      <c r="H152" s="75">
        <v>104662</v>
      </c>
      <c r="I152" s="75" t="s">
        <v>61</v>
      </c>
      <c r="J152" s="75">
        <v>1523.6</v>
      </c>
      <c r="K152" s="75">
        <v>2353</v>
      </c>
      <c r="L152" s="75">
        <v>2402.1999999999998</v>
      </c>
      <c r="M152" s="75">
        <v>2802</v>
      </c>
      <c r="N152" s="75">
        <v>3218.8</v>
      </c>
      <c r="O152" s="150"/>
      <c r="P152" s="177" t="s">
        <v>39</v>
      </c>
      <c r="R152" s="51"/>
    </row>
    <row r="153" spans="1:20" s="158" customFormat="1" ht="12.2" customHeight="1">
      <c r="A153" s="175" t="s">
        <v>40</v>
      </c>
      <c r="B153" s="150"/>
      <c r="C153" s="171"/>
      <c r="D153" s="75">
        <f>SUM(D154:D155)</f>
        <v>203854.3</v>
      </c>
      <c r="E153" s="75">
        <f>SUM(E154:E155)</f>
        <v>197043.6</v>
      </c>
      <c r="F153" s="75">
        <f>SUM(F154:F155)</f>
        <v>195294.8</v>
      </c>
      <c r="G153" s="75">
        <f>SUM(G154:G155)</f>
        <v>238533</v>
      </c>
      <c r="H153" s="75">
        <f>SUM(H154:H155)</f>
        <v>237147</v>
      </c>
      <c r="I153" s="75" t="s">
        <v>61</v>
      </c>
      <c r="J153" s="75">
        <v>2076.8000000000002</v>
      </c>
      <c r="K153" s="75">
        <v>2123.8000000000002</v>
      </c>
      <c r="L153" s="75">
        <v>2952.2</v>
      </c>
      <c r="M153" s="75">
        <v>3623.8</v>
      </c>
      <c r="N153" s="75">
        <v>3626.2</v>
      </c>
      <c r="O153" s="150"/>
      <c r="P153" s="177" t="s">
        <v>41</v>
      </c>
    </row>
    <row r="154" spans="1:20" s="6" customFormat="1" ht="12.2" customHeight="1">
      <c r="A154" s="175" t="s">
        <v>42</v>
      </c>
      <c r="B154" s="150"/>
      <c r="C154" s="171"/>
      <c r="D154" s="75">
        <v>161162.29999999999</v>
      </c>
      <c r="E154" s="75">
        <v>141467.20000000001</v>
      </c>
      <c r="F154" s="75">
        <v>105846.8</v>
      </c>
      <c r="G154" s="75">
        <v>126987</v>
      </c>
      <c r="H154" s="75">
        <v>99634</v>
      </c>
      <c r="I154" s="75" t="s">
        <v>61</v>
      </c>
      <c r="J154" s="75">
        <v>423.3</v>
      </c>
      <c r="K154" s="75">
        <v>415.4</v>
      </c>
      <c r="L154" s="75">
        <v>351.2</v>
      </c>
      <c r="M154" s="75">
        <v>210.5</v>
      </c>
      <c r="N154" s="75">
        <v>109.7</v>
      </c>
      <c r="O154" s="150"/>
      <c r="P154" s="176" t="s">
        <v>43</v>
      </c>
      <c r="R154" s="17"/>
    </row>
    <row r="155" spans="1:20" s="6" customFormat="1" ht="12.2" customHeight="1">
      <c r="A155" s="175" t="s">
        <v>38</v>
      </c>
      <c r="B155" s="150"/>
      <c r="C155" s="171"/>
      <c r="D155" s="75">
        <v>42692</v>
      </c>
      <c r="E155" s="75">
        <v>55576.4</v>
      </c>
      <c r="F155" s="75">
        <v>89448</v>
      </c>
      <c r="G155" s="75">
        <v>111546</v>
      </c>
      <c r="H155" s="75">
        <v>137513</v>
      </c>
      <c r="I155" s="75" t="s">
        <v>61</v>
      </c>
      <c r="J155" s="75">
        <f>J153-J154</f>
        <v>1653.5000000000002</v>
      </c>
      <c r="K155" s="75">
        <f>K153-K154</f>
        <v>1708.4</v>
      </c>
      <c r="L155" s="75">
        <f>L153-L154</f>
        <v>2601</v>
      </c>
      <c r="M155" s="75">
        <f>M153-M154</f>
        <v>3413.3</v>
      </c>
      <c r="N155" s="75">
        <f>N153-N154</f>
        <v>3516.5</v>
      </c>
      <c r="O155" s="150"/>
      <c r="P155" s="179" t="s">
        <v>39</v>
      </c>
      <c r="R155" s="17"/>
    </row>
    <row r="156" spans="1:20" s="158" customFormat="1" ht="12.2" customHeight="1">
      <c r="A156" s="175" t="s">
        <v>44</v>
      </c>
      <c r="B156" s="150"/>
      <c r="C156" s="171"/>
      <c r="D156" s="75">
        <f>D148+D153</f>
        <v>321257.3</v>
      </c>
      <c r="E156" s="75">
        <f>E148+E153</f>
        <v>342300.1</v>
      </c>
      <c r="F156" s="75">
        <f>F148+F153</f>
        <v>354810.4</v>
      </c>
      <c r="G156" s="75">
        <f>G148+G153</f>
        <v>434865</v>
      </c>
      <c r="H156" s="75">
        <f>H148+H153</f>
        <v>458571</v>
      </c>
      <c r="I156" s="75">
        <v>13714</v>
      </c>
      <c r="J156" s="75">
        <f t="shared" ref="J156:K156" si="27">J148+J153</f>
        <v>13762</v>
      </c>
      <c r="K156" s="75">
        <f t="shared" si="27"/>
        <v>14822.5</v>
      </c>
      <c r="L156" s="75">
        <f>L148+L153</f>
        <v>16620</v>
      </c>
      <c r="M156" s="75">
        <v>18488.400000000001</v>
      </c>
      <c r="N156" s="75">
        <v>19959.7</v>
      </c>
      <c r="O156" s="150"/>
      <c r="P156" s="179" t="s">
        <v>45</v>
      </c>
    </row>
    <row r="157" spans="1:20" s="6" customFormat="1" ht="20.100000000000001" customHeight="1">
      <c r="A157" s="188" t="s">
        <v>291</v>
      </c>
      <c r="B157" s="188" t="s">
        <v>156</v>
      </c>
      <c r="C157" s="193"/>
      <c r="D157" s="173"/>
      <c r="E157" s="173"/>
      <c r="F157" s="200"/>
      <c r="G157" s="200"/>
      <c r="H157" s="200"/>
      <c r="I157" s="200"/>
      <c r="J157" s="200"/>
      <c r="K157" s="200"/>
      <c r="L157" s="200"/>
      <c r="M157" s="200"/>
      <c r="N157" s="200"/>
      <c r="O157" s="173" t="s">
        <v>157</v>
      </c>
      <c r="P157" s="189" t="s">
        <v>17</v>
      </c>
    </row>
    <row r="158" spans="1:20" s="6" customFormat="1" ht="12.2" customHeight="1">
      <c r="A158" s="175" t="s">
        <v>32</v>
      </c>
      <c r="B158" s="150"/>
      <c r="C158" s="190"/>
      <c r="D158" s="75">
        <f>SUM(D159:D162)</f>
        <v>9979</v>
      </c>
      <c r="E158" s="75">
        <f>SUM(E159:E162)</f>
        <v>12888</v>
      </c>
      <c r="F158" s="75">
        <f>SUM(F159:F162)</f>
        <v>11434</v>
      </c>
      <c r="G158" s="75">
        <f>SUM(G159:G162)</f>
        <v>17505</v>
      </c>
      <c r="H158" s="75">
        <f>SUM(H159:H162)</f>
        <v>20446</v>
      </c>
      <c r="I158" s="75"/>
      <c r="J158" s="75"/>
      <c r="K158" s="75"/>
      <c r="L158" s="75"/>
      <c r="M158" s="75"/>
      <c r="N158" s="75"/>
      <c r="O158" s="150"/>
      <c r="P158" s="176" t="s">
        <v>33</v>
      </c>
      <c r="R158" s="17"/>
    </row>
    <row r="159" spans="1:20" s="6" customFormat="1" ht="13.5" customHeight="1">
      <c r="A159" s="175" t="s">
        <v>121</v>
      </c>
      <c r="B159" s="150"/>
      <c r="C159" s="192"/>
      <c r="D159" s="75">
        <v>2935</v>
      </c>
      <c r="E159" s="75">
        <v>3322</v>
      </c>
      <c r="F159" s="75">
        <v>4624</v>
      </c>
      <c r="G159" s="75">
        <v>9478</v>
      </c>
      <c r="H159" s="75">
        <v>6613</v>
      </c>
      <c r="I159" s="75" t="s">
        <v>61</v>
      </c>
      <c r="J159" s="75" t="s">
        <v>61</v>
      </c>
      <c r="K159" s="75" t="s">
        <v>61</v>
      </c>
      <c r="L159" s="75" t="s">
        <v>61</v>
      </c>
      <c r="M159" s="75" t="s">
        <v>61</v>
      </c>
      <c r="N159" s="75" t="s">
        <v>61</v>
      </c>
      <c r="O159" s="150"/>
      <c r="P159" s="177" t="s">
        <v>292</v>
      </c>
      <c r="R159" s="17"/>
    </row>
    <row r="160" spans="1:20" s="6" customFormat="1" ht="12.2" customHeight="1">
      <c r="A160" s="175" t="s">
        <v>34</v>
      </c>
      <c r="B160" s="150"/>
      <c r="C160" s="190"/>
      <c r="D160" s="159">
        <v>0</v>
      </c>
      <c r="E160" s="159">
        <v>0</v>
      </c>
      <c r="F160" s="159">
        <v>0</v>
      </c>
      <c r="G160" s="159">
        <v>0</v>
      </c>
      <c r="H160" s="159">
        <v>0</v>
      </c>
      <c r="I160" s="75" t="s">
        <v>61</v>
      </c>
      <c r="J160" s="75" t="s">
        <v>61</v>
      </c>
      <c r="K160" s="75" t="s">
        <v>61</v>
      </c>
      <c r="L160" s="75" t="s">
        <v>61</v>
      </c>
      <c r="M160" s="75" t="s">
        <v>61</v>
      </c>
      <c r="N160" s="75" t="s">
        <v>61</v>
      </c>
      <c r="O160" s="150"/>
      <c r="P160" s="177" t="s">
        <v>35</v>
      </c>
      <c r="R160" s="17"/>
    </row>
    <row r="161" spans="1:26" s="6" customFormat="1" ht="12.2" customHeight="1">
      <c r="A161" s="178" t="s">
        <v>36</v>
      </c>
      <c r="B161" s="150"/>
      <c r="C161" s="190"/>
      <c r="D161" s="75">
        <v>2449</v>
      </c>
      <c r="E161" s="75">
        <v>3040</v>
      </c>
      <c r="F161" s="75">
        <v>3852</v>
      </c>
      <c r="G161" s="75">
        <v>4461</v>
      </c>
      <c r="H161" s="75">
        <v>8020</v>
      </c>
      <c r="I161" s="75" t="s">
        <v>61</v>
      </c>
      <c r="J161" s="75" t="s">
        <v>61</v>
      </c>
      <c r="K161" s="75" t="s">
        <v>61</v>
      </c>
      <c r="L161" s="75" t="s">
        <v>61</v>
      </c>
      <c r="M161" s="75" t="s">
        <v>61</v>
      </c>
      <c r="N161" s="75" t="s">
        <v>61</v>
      </c>
      <c r="O161" s="150"/>
      <c r="P161" s="179" t="s">
        <v>37</v>
      </c>
      <c r="R161" s="17"/>
    </row>
    <row r="162" spans="1:26" s="6" customFormat="1" ht="12.2" customHeight="1">
      <c r="A162" s="178" t="s">
        <v>38</v>
      </c>
      <c r="B162" s="150"/>
      <c r="C162" s="190"/>
      <c r="D162" s="75">
        <v>4595</v>
      </c>
      <c r="E162" s="75">
        <v>6526</v>
      </c>
      <c r="F162" s="75">
        <v>2958</v>
      </c>
      <c r="G162" s="75">
        <v>3566</v>
      </c>
      <c r="H162" s="75">
        <v>5813</v>
      </c>
      <c r="I162" s="75" t="s">
        <v>61</v>
      </c>
      <c r="J162" s="75" t="s">
        <v>61</v>
      </c>
      <c r="K162" s="75" t="s">
        <v>61</v>
      </c>
      <c r="L162" s="75" t="s">
        <v>61</v>
      </c>
      <c r="M162" s="75" t="s">
        <v>61</v>
      </c>
      <c r="N162" s="75" t="s">
        <v>61</v>
      </c>
      <c r="O162" s="150"/>
      <c r="P162" s="177" t="s">
        <v>39</v>
      </c>
      <c r="R162" s="17"/>
    </row>
    <row r="163" spans="1:26" s="6" customFormat="1" ht="12.2" customHeight="1">
      <c r="A163" s="175" t="s">
        <v>40</v>
      </c>
      <c r="B163" s="150"/>
      <c r="C163" s="171"/>
      <c r="D163" s="75">
        <f>SUM(D164:D165)</f>
        <v>67033</v>
      </c>
      <c r="E163" s="75">
        <f>SUM(E164:E165)</f>
        <v>81863</v>
      </c>
      <c r="F163" s="75">
        <f>SUM(F164:F165)</f>
        <v>132471</v>
      </c>
      <c r="G163" s="75">
        <f>SUM(G164:G165)</f>
        <v>183661</v>
      </c>
      <c r="H163" s="75">
        <f>SUM(H164:H165)</f>
        <v>208304</v>
      </c>
      <c r="I163" s="75" t="s">
        <v>61</v>
      </c>
      <c r="J163" s="75" t="s">
        <v>61</v>
      </c>
      <c r="K163" s="75" t="s">
        <v>61</v>
      </c>
      <c r="L163" s="75" t="s">
        <v>61</v>
      </c>
      <c r="M163" s="75" t="s">
        <v>61</v>
      </c>
      <c r="N163" s="75" t="s">
        <v>61</v>
      </c>
      <c r="O163" s="150"/>
      <c r="P163" s="177" t="s">
        <v>41</v>
      </c>
      <c r="R163" s="48"/>
    </row>
    <row r="164" spans="1:26" s="6" customFormat="1" ht="12.2" customHeight="1">
      <c r="A164" s="175" t="s">
        <v>42</v>
      </c>
      <c r="B164" s="150"/>
      <c r="C164" s="171"/>
      <c r="D164" s="75">
        <v>56738</v>
      </c>
      <c r="E164" s="75">
        <v>73322</v>
      </c>
      <c r="F164" s="75">
        <v>111377</v>
      </c>
      <c r="G164" s="75">
        <v>164775</v>
      </c>
      <c r="H164" s="75">
        <v>176265</v>
      </c>
      <c r="I164" s="75">
        <v>269300</v>
      </c>
      <c r="J164" s="75">
        <v>122400</v>
      </c>
      <c r="K164" s="75">
        <v>169800</v>
      </c>
      <c r="L164" s="75" t="s">
        <v>61</v>
      </c>
      <c r="M164" s="75" t="s">
        <v>61</v>
      </c>
      <c r="N164" s="75" t="s">
        <v>61</v>
      </c>
      <c r="O164" s="150"/>
      <c r="P164" s="176" t="s">
        <v>43</v>
      </c>
      <c r="R164" s="48"/>
    </row>
    <row r="165" spans="1:26" s="6" customFormat="1" ht="12.2" customHeight="1">
      <c r="A165" s="175" t="s">
        <v>38</v>
      </c>
      <c r="B165" s="150"/>
      <c r="C165" s="171"/>
      <c r="D165" s="75">
        <v>10295</v>
      </c>
      <c r="E165" s="75">
        <v>8541</v>
      </c>
      <c r="F165" s="75">
        <v>21094</v>
      </c>
      <c r="G165" s="75">
        <v>18886</v>
      </c>
      <c r="H165" s="75">
        <v>32039</v>
      </c>
      <c r="I165" s="75">
        <v>114600</v>
      </c>
      <c r="J165" s="75">
        <v>112100</v>
      </c>
      <c r="K165" s="75">
        <v>112200</v>
      </c>
      <c r="L165" s="75" t="s">
        <v>61</v>
      </c>
      <c r="M165" s="75" t="s">
        <v>61</v>
      </c>
      <c r="N165" s="75" t="s">
        <v>61</v>
      </c>
      <c r="O165" s="150"/>
      <c r="P165" s="179" t="s">
        <v>39</v>
      </c>
      <c r="R165" s="17"/>
    </row>
    <row r="166" spans="1:26" s="6" customFormat="1" ht="12.2" customHeight="1">
      <c r="A166" s="175" t="s">
        <v>44</v>
      </c>
      <c r="B166" s="150"/>
      <c r="C166" s="171"/>
      <c r="D166" s="75">
        <f>D158+D163</f>
        <v>77012</v>
      </c>
      <c r="E166" s="75">
        <f>E158+E163</f>
        <v>94751</v>
      </c>
      <c r="F166" s="75">
        <f>F158+F163</f>
        <v>143905</v>
      </c>
      <c r="G166" s="75">
        <f>G158+G163</f>
        <v>201166</v>
      </c>
      <c r="H166" s="75">
        <f>H158+H163</f>
        <v>228750</v>
      </c>
      <c r="I166" s="75">
        <f>I165+I164</f>
        <v>383900</v>
      </c>
      <c r="J166" s="75">
        <f t="shared" ref="J166:K166" si="28">J165+J164</f>
        <v>234500</v>
      </c>
      <c r="K166" s="75">
        <f t="shared" si="28"/>
        <v>282000</v>
      </c>
      <c r="L166" s="75">
        <v>379900</v>
      </c>
      <c r="M166" s="75" t="s">
        <v>61</v>
      </c>
      <c r="N166" s="75" t="s">
        <v>61</v>
      </c>
      <c r="O166" s="150"/>
      <c r="P166" s="179" t="s">
        <v>45</v>
      </c>
      <c r="R166" s="17"/>
    </row>
    <row r="167" spans="1:26" s="6" customFormat="1" ht="20.100000000000001" customHeight="1">
      <c r="A167" s="188" t="s">
        <v>103</v>
      </c>
      <c r="B167" s="188" t="s">
        <v>151</v>
      </c>
      <c r="C167" s="19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 t="s">
        <v>158</v>
      </c>
      <c r="P167" s="189" t="s">
        <v>115</v>
      </c>
    </row>
    <row r="168" spans="1:26" s="6" customFormat="1" ht="12.2" customHeight="1">
      <c r="A168" s="175" t="s">
        <v>32</v>
      </c>
      <c r="B168" s="150"/>
      <c r="C168" s="190"/>
      <c r="D168" s="75">
        <f t="shared" ref="D168:K168" si="29">SUM(D169:D172)</f>
        <v>194537</v>
      </c>
      <c r="E168" s="75">
        <f t="shared" si="29"/>
        <v>240163</v>
      </c>
      <c r="F168" s="75">
        <f t="shared" si="29"/>
        <v>284416</v>
      </c>
      <c r="G168" s="75">
        <f t="shared" si="29"/>
        <v>266396</v>
      </c>
      <c r="H168" s="75">
        <f t="shared" si="29"/>
        <v>315414</v>
      </c>
      <c r="I168" s="75">
        <f t="shared" si="29"/>
        <v>371434</v>
      </c>
      <c r="J168" s="75">
        <f t="shared" si="29"/>
        <v>409553</v>
      </c>
      <c r="K168" s="75">
        <f t="shared" si="29"/>
        <v>454667</v>
      </c>
      <c r="L168" s="75">
        <v>380767</v>
      </c>
      <c r="M168" s="75">
        <v>546454</v>
      </c>
      <c r="N168" s="75">
        <v>531495</v>
      </c>
      <c r="O168" s="150"/>
      <c r="P168" s="176" t="s">
        <v>33</v>
      </c>
      <c r="R168" s="17"/>
    </row>
    <row r="169" spans="1:26" s="6" customFormat="1" ht="13.5" customHeight="1">
      <c r="A169" s="175" t="s">
        <v>121</v>
      </c>
      <c r="B169" s="150"/>
      <c r="C169" s="192"/>
      <c r="D169" s="75">
        <v>116380</v>
      </c>
      <c r="E169" s="75">
        <v>141622</v>
      </c>
      <c r="F169" s="75">
        <v>162810</v>
      </c>
      <c r="G169" s="75">
        <v>129392</v>
      </c>
      <c r="H169" s="75">
        <v>152783</v>
      </c>
      <c r="I169" s="75">
        <v>202955</v>
      </c>
      <c r="J169" s="75">
        <v>211107</v>
      </c>
      <c r="K169" s="75">
        <v>219224</v>
      </c>
      <c r="L169" s="75">
        <v>183552</v>
      </c>
      <c r="M169" s="75">
        <v>263789</v>
      </c>
      <c r="N169" s="75">
        <v>262605</v>
      </c>
      <c r="O169" s="150"/>
      <c r="P169" s="177" t="s">
        <v>292</v>
      </c>
      <c r="R169" s="17"/>
    </row>
    <row r="170" spans="1:26" s="6" customFormat="1" ht="12.2" customHeight="1">
      <c r="A170" s="175" t="s">
        <v>34</v>
      </c>
      <c r="B170" s="150"/>
      <c r="C170" s="190"/>
      <c r="D170" s="75">
        <v>35851</v>
      </c>
      <c r="E170" s="75">
        <v>46642</v>
      </c>
      <c r="F170" s="75">
        <v>69661</v>
      </c>
      <c r="G170" s="75">
        <v>100869</v>
      </c>
      <c r="H170" s="75">
        <v>118229</v>
      </c>
      <c r="I170" s="75">
        <v>119548</v>
      </c>
      <c r="J170" s="75">
        <v>140519</v>
      </c>
      <c r="K170" s="75">
        <v>168444</v>
      </c>
      <c r="L170" s="75">
        <v>140897</v>
      </c>
      <c r="M170" s="75">
        <v>195268</v>
      </c>
      <c r="N170" s="75">
        <v>164547</v>
      </c>
      <c r="O170" s="150"/>
      <c r="P170" s="177" t="s">
        <v>35</v>
      </c>
      <c r="R170" s="17"/>
    </row>
    <row r="171" spans="1:26" s="6" customFormat="1" ht="12.2" customHeight="1">
      <c r="A171" s="178" t="s">
        <v>36</v>
      </c>
      <c r="B171" s="150"/>
      <c r="C171" s="190"/>
      <c r="D171" s="75">
        <v>42290</v>
      </c>
      <c r="E171" s="75">
        <v>51897</v>
      </c>
      <c r="F171" s="75">
        <v>51945</v>
      </c>
      <c r="G171" s="75">
        <v>36135</v>
      </c>
      <c r="H171" s="75">
        <v>44402</v>
      </c>
      <c r="I171" s="75">
        <v>48931</v>
      </c>
      <c r="J171" s="75">
        <v>57927</v>
      </c>
      <c r="K171" s="75">
        <v>66999</v>
      </c>
      <c r="L171" s="75">
        <v>56318</v>
      </c>
      <c r="M171" s="75">
        <v>87397</v>
      </c>
      <c r="N171" s="75">
        <v>104343</v>
      </c>
      <c r="O171" s="150"/>
      <c r="P171" s="179" t="s">
        <v>37</v>
      </c>
      <c r="R171" s="17"/>
    </row>
    <row r="172" spans="1:26" s="6" customFormat="1" ht="12.2" customHeight="1">
      <c r="A172" s="178" t="s">
        <v>38</v>
      </c>
      <c r="B172" s="150"/>
      <c r="C172" s="190"/>
      <c r="D172" s="75">
        <v>16</v>
      </c>
      <c r="E172" s="75">
        <v>2</v>
      </c>
      <c r="F172" s="159">
        <v>0</v>
      </c>
      <c r="G172" s="159">
        <v>0</v>
      </c>
      <c r="H172" s="159">
        <v>0</v>
      </c>
      <c r="I172" s="159" t="s">
        <v>141</v>
      </c>
      <c r="J172" s="159" t="s">
        <v>141</v>
      </c>
      <c r="K172" s="159" t="s">
        <v>141</v>
      </c>
      <c r="L172" s="159" t="s">
        <v>141</v>
      </c>
      <c r="M172" s="159" t="s">
        <v>141</v>
      </c>
      <c r="N172" s="159" t="s">
        <v>141</v>
      </c>
      <c r="O172" s="150"/>
      <c r="P172" s="177" t="s">
        <v>39</v>
      </c>
      <c r="R172" s="17"/>
    </row>
    <row r="173" spans="1:26" s="6" customFormat="1" ht="12.2" customHeight="1">
      <c r="A173" s="175" t="s">
        <v>40</v>
      </c>
      <c r="B173" s="150"/>
      <c r="C173" s="171"/>
      <c r="D173" s="75">
        <f t="shared" ref="D173:H173" si="30">SUM(D174:D175)</f>
        <v>486290</v>
      </c>
      <c r="E173" s="75">
        <f t="shared" si="30"/>
        <v>588191</v>
      </c>
      <c r="F173" s="75">
        <f t="shared" si="30"/>
        <v>860769</v>
      </c>
      <c r="G173" s="75">
        <f t="shared" si="30"/>
        <v>1218185</v>
      </c>
      <c r="H173" s="75">
        <f t="shared" si="30"/>
        <v>1145086</v>
      </c>
      <c r="I173" s="75">
        <v>1656355</v>
      </c>
      <c r="J173" s="75">
        <v>931505</v>
      </c>
      <c r="K173" s="75">
        <v>1389791</v>
      </c>
      <c r="L173" s="75">
        <v>1380874</v>
      </c>
      <c r="M173" s="75">
        <v>1943742</v>
      </c>
      <c r="N173" s="75">
        <v>1614888</v>
      </c>
      <c r="O173" s="150"/>
      <c r="P173" s="177" t="s">
        <v>41</v>
      </c>
      <c r="R173" s="73"/>
    </row>
    <row r="174" spans="1:26" s="6" customFormat="1" ht="12.2" customHeight="1">
      <c r="A174" s="175" t="s">
        <v>42</v>
      </c>
      <c r="B174" s="150"/>
      <c r="C174" s="171"/>
      <c r="D174" s="75">
        <v>448215</v>
      </c>
      <c r="E174" s="75">
        <v>533950</v>
      </c>
      <c r="F174" s="75">
        <v>797846</v>
      </c>
      <c r="G174" s="75">
        <v>1124003</v>
      </c>
      <c r="H174" s="75">
        <v>1074245</v>
      </c>
      <c r="I174" s="75">
        <v>1456723</v>
      </c>
      <c r="J174" s="75">
        <v>715800</v>
      </c>
      <c r="K174" s="75">
        <v>1090073</v>
      </c>
      <c r="L174" s="75">
        <v>1186009</v>
      </c>
      <c r="M174" s="75">
        <v>1057282</v>
      </c>
      <c r="N174" s="75">
        <v>1114652</v>
      </c>
      <c r="O174" s="150"/>
      <c r="P174" s="176" t="s">
        <v>43</v>
      </c>
      <c r="R174" s="17"/>
    </row>
    <row r="175" spans="1:26" s="6" customFormat="1" ht="12.2" customHeight="1">
      <c r="A175" s="175" t="s">
        <v>38</v>
      </c>
      <c r="B175" s="150"/>
      <c r="C175" s="171"/>
      <c r="D175" s="75">
        <v>38075</v>
      </c>
      <c r="E175" s="75">
        <v>54241</v>
      </c>
      <c r="F175" s="75">
        <v>62923</v>
      </c>
      <c r="G175" s="75">
        <v>94182</v>
      </c>
      <c r="H175" s="75">
        <v>70841</v>
      </c>
      <c r="I175" s="75">
        <f t="shared" ref="I175:N175" si="31">I173-I174</f>
        <v>199632</v>
      </c>
      <c r="J175" s="75">
        <f t="shared" si="31"/>
        <v>215705</v>
      </c>
      <c r="K175" s="75">
        <f t="shared" si="31"/>
        <v>299718</v>
      </c>
      <c r="L175" s="75">
        <f t="shared" si="31"/>
        <v>194865</v>
      </c>
      <c r="M175" s="75">
        <f t="shared" si="31"/>
        <v>886460</v>
      </c>
      <c r="N175" s="75">
        <f t="shared" si="31"/>
        <v>500236</v>
      </c>
      <c r="O175" s="150"/>
      <c r="P175" s="179" t="s">
        <v>39</v>
      </c>
      <c r="R175" s="17"/>
      <c r="U175" s="3"/>
      <c r="V175" s="3"/>
      <c r="W175" s="3"/>
      <c r="X175" s="3"/>
      <c r="Y175" s="3"/>
      <c r="Z175" s="3"/>
    </row>
    <row r="176" spans="1:26" s="6" customFormat="1" ht="12.2" customHeight="1" thickBot="1">
      <c r="A176" s="201" t="s">
        <v>44</v>
      </c>
      <c r="B176" s="202"/>
      <c r="C176" s="203"/>
      <c r="D176" s="76">
        <f t="shared" ref="D176:H176" si="32">D168+D173</f>
        <v>680827</v>
      </c>
      <c r="E176" s="76">
        <f t="shared" si="32"/>
        <v>828354</v>
      </c>
      <c r="F176" s="76">
        <f t="shared" si="32"/>
        <v>1145185</v>
      </c>
      <c r="G176" s="76">
        <f t="shared" si="32"/>
        <v>1484581</v>
      </c>
      <c r="H176" s="76">
        <f t="shared" si="32"/>
        <v>1460500</v>
      </c>
      <c r="I176" s="76">
        <v>2027789</v>
      </c>
      <c r="J176" s="76">
        <v>1341058</v>
      </c>
      <c r="K176" s="76">
        <v>1844458</v>
      </c>
      <c r="L176" s="76">
        <v>1761641</v>
      </c>
      <c r="M176" s="76">
        <v>2490196</v>
      </c>
      <c r="N176" s="76">
        <v>2146383</v>
      </c>
      <c r="O176" s="202"/>
      <c r="P176" s="204" t="s">
        <v>45</v>
      </c>
      <c r="R176" s="17"/>
      <c r="U176" s="3"/>
      <c r="V176" s="3"/>
      <c r="W176" s="3"/>
      <c r="X176" s="3"/>
      <c r="Y176" s="3"/>
      <c r="Z176" s="3"/>
    </row>
    <row r="177" spans="1:16" s="31" customFormat="1" ht="16.5" customHeight="1">
      <c r="A177" s="205" t="s">
        <v>203</v>
      </c>
      <c r="B177" s="205"/>
      <c r="C177" s="205"/>
      <c r="D177" s="205"/>
      <c r="E177" s="205"/>
      <c r="F177" s="205"/>
      <c r="G177" s="205"/>
      <c r="H177" s="205"/>
      <c r="I177" s="206"/>
      <c r="J177" s="205"/>
      <c r="K177" s="205"/>
      <c r="L177" s="205"/>
      <c r="M177" s="205"/>
      <c r="N177" s="205"/>
      <c r="O177" s="207"/>
      <c r="P177" s="207" t="s">
        <v>202</v>
      </c>
    </row>
    <row r="178" spans="1:16" s="31" customFormat="1" ht="16.5" customHeight="1">
      <c r="A178" s="205" t="s">
        <v>205</v>
      </c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9"/>
      <c r="P178" s="210" t="s">
        <v>204</v>
      </c>
    </row>
    <row r="179" spans="1:16" s="31" customFormat="1" ht="15.75" customHeight="1">
      <c r="A179" s="205" t="s">
        <v>293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10" t="s">
        <v>294</v>
      </c>
    </row>
    <row r="180" spans="1:16" s="31" customFormat="1" ht="9">
      <c r="A180" s="313" t="s">
        <v>295</v>
      </c>
      <c r="B180" s="313"/>
      <c r="C180" s="313"/>
      <c r="D180" s="313"/>
      <c r="E180" s="313"/>
      <c r="F180" s="313"/>
      <c r="G180" s="313"/>
      <c r="H180" s="313"/>
      <c r="I180" s="208"/>
      <c r="J180" s="208"/>
      <c r="K180" s="208"/>
      <c r="L180" s="208"/>
      <c r="M180" s="208"/>
      <c r="N180" s="208"/>
      <c r="O180" s="208"/>
      <c r="P180" s="210" t="s">
        <v>296</v>
      </c>
    </row>
    <row r="181" spans="1:16">
      <c r="A181" s="10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47"/>
      <c r="O181" s="9"/>
      <c r="P181" s="105"/>
    </row>
    <row r="182" spans="1:16">
      <c r="B182" s="104"/>
      <c r="C182" s="104"/>
      <c r="D182" s="104"/>
      <c r="E182" s="104"/>
      <c r="F182" s="104"/>
      <c r="G182" s="104"/>
      <c r="H182" s="104"/>
      <c r="I182" s="8"/>
      <c r="J182" s="8"/>
      <c r="K182" s="8"/>
      <c r="L182" s="8"/>
      <c r="M182" s="8"/>
      <c r="N182" s="147"/>
      <c r="O182" s="9"/>
      <c r="P182" s="11"/>
    </row>
    <row r="183" spans="1:16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47"/>
      <c r="O183" s="9"/>
      <c r="P183" s="11"/>
    </row>
    <row r="184" spans="1:16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47"/>
      <c r="O184" s="9"/>
    </row>
    <row r="185" spans="1:16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47"/>
      <c r="O185" s="9"/>
      <c r="P185" s="11"/>
    </row>
    <row r="186" spans="1:16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47"/>
      <c r="O186" s="9"/>
      <c r="P186" s="11"/>
    </row>
    <row r="187" spans="1:16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47"/>
      <c r="O187" s="9"/>
      <c r="P187" s="10"/>
    </row>
    <row r="188" spans="1:16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47"/>
      <c r="O188" s="9"/>
      <c r="P188" s="11"/>
    </row>
    <row r="189" spans="1:16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47"/>
      <c r="O189" s="9"/>
      <c r="P189" s="11"/>
    </row>
    <row r="190" spans="1:16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47"/>
      <c r="O190" s="9"/>
      <c r="P190" s="11"/>
    </row>
    <row r="191" spans="1:16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47"/>
      <c r="O191" s="9"/>
      <c r="P191" s="11"/>
    </row>
    <row r="192" spans="1:16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47"/>
      <c r="O192" s="9"/>
      <c r="P192" s="11"/>
    </row>
    <row r="193" spans="3:16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47"/>
      <c r="O193" s="9"/>
      <c r="P193" s="11"/>
    </row>
    <row r="194" spans="3:16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47"/>
      <c r="O194" s="9"/>
      <c r="P194" s="11"/>
    </row>
    <row r="195" spans="3:16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47"/>
      <c r="O195" s="9"/>
      <c r="P195" s="11"/>
    </row>
    <row r="196" spans="3:1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47"/>
      <c r="O196" s="9"/>
      <c r="P196" s="11"/>
    </row>
    <row r="197" spans="3:16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47"/>
      <c r="O197" s="9"/>
      <c r="P197" s="11"/>
    </row>
    <row r="198" spans="3:16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47"/>
      <c r="O198" s="9"/>
      <c r="P198" s="11"/>
    </row>
    <row r="199" spans="3:16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47"/>
      <c r="O199" s="9"/>
      <c r="P199" s="11"/>
    </row>
    <row r="200" spans="3:16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47"/>
      <c r="O200" s="9"/>
      <c r="P200" s="11"/>
    </row>
    <row r="201" spans="3:16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47"/>
      <c r="O201" s="9"/>
      <c r="P201" s="10"/>
    </row>
    <row r="202" spans="3:16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47"/>
      <c r="O202" s="9"/>
      <c r="P202" s="11"/>
    </row>
    <row r="203" spans="3:16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47"/>
      <c r="O203" s="9"/>
      <c r="P203" s="11"/>
    </row>
    <row r="204" spans="3:16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47"/>
      <c r="O204" s="9"/>
      <c r="P204" s="11"/>
    </row>
    <row r="205" spans="3:16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47"/>
      <c r="O205" s="9"/>
      <c r="P205" s="11"/>
    </row>
    <row r="206" spans="3:1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47"/>
      <c r="O206" s="9"/>
      <c r="P206" s="11"/>
    </row>
    <row r="207" spans="3:16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47"/>
      <c r="O207" s="9"/>
      <c r="P207" s="11"/>
    </row>
    <row r="208" spans="3:16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47"/>
      <c r="O208" s="9"/>
      <c r="P208" s="11"/>
    </row>
    <row r="209" spans="3:16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47"/>
      <c r="O209" s="9"/>
      <c r="P209" s="11"/>
    </row>
    <row r="210" spans="3:16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47"/>
      <c r="O210" s="9"/>
      <c r="P210" s="11"/>
    </row>
    <row r="211" spans="3:16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47"/>
      <c r="O211" s="9"/>
      <c r="P211" s="11"/>
    </row>
    <row r="212" spans="3:16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47"/>
      <c r="O212" s="9"/>
      <c r="P212" s="11"/>
    </row>
    <row r="213" spans="3:16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47"/>
      <c r="O213" s="9"/>
      <c r="P213" s="11"/>
    </row>
    <row r="214" spans="3:16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47"/>
      <c r="O214" s="9"/>
      <c r="P214" s="11"/>
    </row>
    <row r="215" spans="3:16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47"/>
      <c r="O215" s="9"/>
      <c r="P215" s="11"/>
    </row>
    <row r="216" spans="3: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47"/>
      <c r="O216" s="9"/>
      <c r="P216" s="11"/>
    </row>
    <row r="217" spans="3:16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47"/>
      <c r="O217" s="9"/>
      <c r="P217" s="11"/>
    </row>
    <row r="218" spans="3:16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47"/>
      <c r="O218" s="9"/>
      <c r="P218" s="11"/>
    </row>
    <row r="219" spans="3:16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47"/>
      <c r="O219" s="9"/>
      <c r="P219" s="11"/>
    </row>
    <row r="220" spans="3:16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47"/>
      <c r="O220" s="9"/>
      <c r="P220" s="11"/>
    </row>
    <row r="221" spans="3:16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47"/>
      <c r="O221" s="9"/>
      <c r="P221" s="11"/>
    </row>
    <row r="222" spans="3:16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47"/>
      <c r="O222" s="9"/>
      <c r="P222" s="11"/>
    </row>
    <row r="223" spans="3:16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47"/>
      <c r="O223" s="9"/>
      <c r="P223" s="10"/>
    </row>
    <row r="224" spans="3:16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47"/>
      <c r="O224" s="9"/>
      <c r="P224" s="10"/>
    </row>
    <row r="225" spans="3:16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47"/>
      <c r="O225" s="9"/>
      <c r="P225" s="11"/>
    </row>
    <row r="226" spans="3:1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47"/>
      <c r="O226" s="9"/>
      <c r="P226" s="10"/>
    </row>
    <row r="227" spans="3:16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47"/>
      <c r="O227" s="9"/>
      <c r="P227" s="10"/>
    </row>
    <row r="228" spans="3:16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47"/>
      <c r="O228" s="9"/>
      <c r="P228" s="10"/>
    </row>
    <row r="229" spans="3:16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47"/>
      <c r="O229" s="9"/>
      <c r="P229" s="11"/>
    </row>
    <row r="230" spans="3:16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47"/>
      <c r="O230" s="9"/>
      <c r="P230" s="11"/>
    </row>
    <row r="231" spans="3:16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47"/>
      <c r="O231" s="9"/>
      <c r="P231" s="11"/>
    </row>
    <row r="232" spans="3:16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47"/>
      <c r="O232" s="9"/>
      <c r="P232" s="11"/>
    </row>
    <row r="233" spans="3:16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47"/>
      <c r="O233" s="9"/>
      <c r="P233" s="11"/>
    </row>
    <row r="234" spans="3:16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47"/>
      <c r="O234" s="9"/>
      <c r="P234" s="11"/>
    </row>
    <row r="235" spans="3:16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47"/>
      <c r="O235" s="9"/>
      <c r="P235" s="11"/>
    </row>
    <row r="236" spans="3:1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47"/>
      <c r="O236" s="9"/>
      <c r="P236" s="11"/>
    </row>
    <row r="237" spans="3:16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47"/>
      <c r="O237" s="9"/>
      <c r="P237" s="11"/>
    </row>
    <row r="238" spans="3:16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47"/>
      <c r="O238" s="9"/>
      <c r="P238" s="11"/>
    </row>
    <row r="239" spans="3:16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47"/>
      <c r="O239" s="9"/>
      <c r="P239" s="11"/>
    </row>
    <row r="240" spans="3:16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47"/>
      <c r="O240" s="9"/>
      <c r="P240" s="11"/>
    </row>
    <row r="241" spans="3:16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47"/>
      <c r="O241" s="9"/>
      <c r="P241" s="11"/>
    </row>
    <row r="242" spans="3:16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47"/>
      <c r="O242" s="9"/>
      <c r="P242" s="11"/>
    </row>
    <row r="243" spans="3:16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47"/>
      <c r="O243" s="9"/>
      <c r="P243" s="10"/>
    </row>
    <row r="244" spans="3:16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47"/>
      <c r="O244" s="9"/>
      <c r="P244" s="11"/>
    </row>
    <row r="245" spans="3:16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47"/>
      <c r="O245" s="9"/>
      <c r="P245" s="12"/>
    </row>
    <row r="246" spans="3:1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47"/>
      <c r="O246" s="9"/>
      <c r="P246" s="12"/>
    </row>
    <row r="247" spans="3:16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47"/>
      <c r="O247" s="9"/>
      <c r="P247" s="12"/>
    </row>
    <row r="248" spans="3:16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47"/>
      <c r="O248" s="9"/>
      <c r="P248" s="12"/>
    </row>
    <row r="249" spans="3:16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47"/>
      <c r="O249" s="9"/>
      <c r="P249" s="13"/>
    </row>
    <row r="250" spans="3:16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47"/>
      <c r="O250" s="9"/>
      <c r="P250" s="13"/>
    </row>
    <row r="251" spans="3:16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47"/>
      <c r="O251" s="9"/>
      <c r="P251" s="13"/>
    </row>
    <row r="252" spans="3:16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47"/>
      <c r="O252" s="9"/>
      <c r="P252" s="13"/>
    </row>
    <row r="253" spans="3:16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47"/>
      <c r="O253" s="9"/>
      <c r="P253" s="13"/>
    </row>
    <row r="254" spans="3:16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47"/>
      <c r="O254" s="9"/>
      <c r="P254" s="13"/>
    </row>
    <row r="255" spans="3:16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47"/>
      <c r="O255" s="9"/>
      <c r="P255" s="13"/>
    </row>
    <row r="256" spans="3:1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47"/>
      <c r="O256" s="9"/>
      <c r="P256" s="13"/>
    </row>
    <row r="257" spans="3:16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47"/>
      <c r="O257" s="9"/>
      <c r="P257" s="13"/>
    </row>
    <row r="258" spans="3:16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47"/>
      <c r="O258" s="9"/>
      <c r="P258" s="13"/>
    </row>
    <row r="259" spans="3:16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47"/>
      <c r="O259" s="9"/>
      <c r="P259" s="13"/>
    </row>
    <row r="260" spans="3:16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47"/>
      <c r="O260" s="9"/>
      <c r="P260" s="13"/>
    </row>
    <row r="261" spans="3:16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47"/>
      <c r="O261" s="9"/>
      <c r="P261" s="13"/>
    </row>
    <row r="262" spans="3:16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47"/>
      <c r="O262" s="9"/>
      <c r="P262" s="13"/>
    </row>
    <row r="263" spans="3:16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47"/>
      <c r="O263" s="9"/>
      <c r="P263" s="13"/>
    </row>
    <row r="264" spans="3:16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47"/>
      <c r="O264" s="9"/>
      <c r="P264" s="13"/>
    </row>
    <row r="265" spans="3:16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47"/>
      <c r="O265" s="9"/>
      <c r="P265" s="13"/>
    </row>
    <row r="266" spans="3:1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47"/>
      <c r="O266" s="9"/>
      <c r="P266" s="13"/>
    </row>
    <row r="267" spans="3:16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47"/>
      <c r="O267" s="9"/>
      <c r="P267" s="13"/>
    </row>
    <row r="268" spans="3:16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47"/>
      <c r="O268" s="9"/>
      <c r="P268" s="13"/>
    </row>
    <row r="269" spans="3:16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47"/>
      <c r="O269" s="9"/>
      <c r="P269" s="13"/>
    </row>
    <row r="270" spans="3:16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47"/>
      <c r="O270" s="9"/>
      <c r="P270" s="13"/>
    </row>
    <row r="271" spans="3:16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47"/>
      <c r="O271" s="9"/>
      <c r="P271" s="13"/>
    </row>
    <row r="272" spans="3:16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47"/>
      <c r="O272" s="9"/>
      <c r="P272" s="13"/>
    </row>
    <row r="273" spans="3:16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47"/>
      <c r="O273" s="9"/>
      <c r="P273" s="13"/>
    </row>
    <row r="274" spans="3:16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47"/>
      <c r="O274" s="9"/>
      <c r="P274" s="13"/>
    </row>
    <row r="275" spans="3:16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47"/>
      <c r="O275" s="9"/>
      <c r="P275" s="13"/>
    </row>
    <row r="276" spans="3:1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47"/>
      <c r="O276" s="9"/>
      <c r="P276" s="13"/>
    </row>
    <row r="277" spans="3:16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47"/>
      <c r="O277" s="9"/>
      <c r="P277" s="13"/>
    </row>
    <row r="278" spans="3:16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47"/>
      <c r="O278" s="9"/>
      <c r="P278" s="13"/>
    </row>
    <row r="279" spans="3:16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47"/>
      <c r="O279" s="9"/>
      <c r="P279" s="13"/>
    </row>
    <row r="280" spans="3:16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47"/>
      <c r="O280" s="9"/>
      <c r="P280" s="13"/>
    </row>
    <row r="281" spans="3:16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47"/>
      <c r="O281" s="9"/>
      <c r="P281" s="13"/>
    </row>
    <row r="282" spans="3:16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47"/>
      <c r="O282" s="9"/>
      <c r="P282" s="13"/>
    </row>
    <row r="283" spans="3:16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47"/>
      <c r="O283" s="9"/>
      <c r="P283" s="13"/>
    </row>
    <row r="284" spans="3:16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47"/>
      <c r="O284" s="9"/>
      <c r="P284" s="13"/>
    </row>
    <row r="285" spans="3:16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47"/>
      <c r="O285" s="9"/>
      <c r="P285" s="13"/>
    </row>
    <row r="286" spans="3:1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47"/>
      <c r="O286" s="9"/>
      <c r="P286" s="13"/>
    </row>
    <row r="287" spans="3:16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47"/>
      <c r="O287" s="9"/>
      <c r="P287" s="13"/>
    </row>
    <row r="288" spans="3:16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47"/>
      <c r="O288" s="9"/>
      <c r="P288" s="13"/>
    </row>
    <row r="289" spans="3:16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47"/>
      <c r="O289" s="9"/>
      <c r="P289" s="13"/>
    </row>
    <row r="290" spans="3:16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47"/>
      <c r="O290" s="9"/>
      <c r="P290" s="13"/>
    </row>
    <row r="291" spans="3:16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47"/>
      <c r="O291" s="9"/>
      <c r="P291" s="13"/>
    </row>
    <row r="292" spans="3:16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47"/>
      <c r="O292" s="9"/>
      <c r="P292" s="13"/>
    </row>
    <row r="293" spans="3:16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47"/>
      <c r="O293" s="9"/>
      <c r="P293" s="13"/>
    </row>
    <row r="294" spans="3:16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47"/>
      <c r="O294" s="9"/>
      <c r="P294" s="13"/>
    </row>
    <row r="295" spans="3:16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47"/>
      <c r="O295" s="9"/>
      <c r="P295" s="13"/>
    </row>
    <row r="296" spans="3:1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47"/>
      <c r="O296" s="9"/>
      <c r="P296" s="13"/>
    </row>
    <row r="297" spans="3:16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47"/>
      <c r="O297" s="9"/>
      <c r="P297" s="13"/>
    </row>
    <row r="298" spans="3:16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47"/>
      <c r="O298" s="9"/>
      <c r="P298" s="13"/>
    </row>
    <row r="299" spans="3:16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47"/>
      <c r="O299" s="9"/>
      <c r="P299" s="13"/>
    </row>
    <row r="300" spans="3:16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47"/>
      <c r="O300" s="9"/>
      <c r="P300" s="13"/>
    </row>
    <row r="301" spans="3:16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47"/>
      <c r="O301" s="9"/>
      <c r="P301" s="13"/>
    </row>
    <row r="302" spans="3:16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47"/>
      <c r="O302" s="9"/>
      <c r="P302" s="13"/>
    </row>
    <row r="303" spans="3:16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47"/>
      <c r="O303" s="9"/>
      <c r="P303" s="13"/>
    </row>
    <row r="304" spans="3:16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47"/>
      <c r="O304" s="9"/>
      <c r="P304" s="13"/>
    </row>
    <row r="305" spans="3:16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47"/>
      <c r="O305" s="9"/>
      <c r="P305" s="13"/>
    </row>
    <row r="306" spans="3:1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47"/>
      <c r="O306" s="9"/>
      <c r="P306" s="13"/>
    </row>
    <row r="307" spans="3:16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47"/>
      <c r="O307" s="9"/>
      <c r="P307" s="13"/>
    </row>
    <row r="308" spans="3:16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47"/>
      <c r="O308" s="9"/>
      <c r="P308" s="13"/>
    </row>
    <row r="309" spans="3:16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47"/>
      <c r="O309" s="9"/>
      <c r="P309" s="13"/>
    </row>
    <row r="310" spans="3:16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47"/>
      <c r="O310" s="9"/>
      <c r="P310" s="13"/>
    </row>
    <row r="311" spans="3:16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47"/>
      <c r="O311" s="9"/>
      <c r="P311" s="13"/>
    </row>
    <row r="312" spans="3:16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47"/>
      <c r="O312" s="9"/>
      <c r="P312" s="13"/>
    </row>
    <row r="313" spans="3:16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47"/>
      <c r="O313" s="9"/>
      <c r="P313" s="13"/>
    </row>
    <row r="314" spans="3:16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47"/>
      <c r="O314" s="9"/>
      <c r="P314" s="13"/>
    </row>
    <row r="315" spans="3:16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47"/>
      <c r="O315" s="9"/>
      <c r="P315" s="13"/>
    </row>
    <row r="316" spans="3: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47"/>
      <c r="O316" s="9"/>
      <c r="P316" s="13"/>
    </row>
    <row r="317" spans="3:16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47"/>
      <c r="O317" s="9"/>
      <c r="P317" s="13"/>
    </row>
    <row r="318" spans="3:16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47"/>
      <c r="O318" s="9"/>
      <c r="P318" s="13"/>
    </row>
    <row r="319" spans="3:16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47"/>
      <c r="O319" s="9"/>
      <c r="P319" s="13"/>
    </row>
    <row r="320" spans="3:16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47"/>
      <c r="O320" s="9"/>
      <c r="P320" s="13"/>
    </row>
    <row r="321" spans="3:16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47"/>
      <c r="O321" s="9"/>
      <c r="P321" s="13"/>
    </row>
    <row r="322" spans="3:16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47"/>
      <c r="O322" s="9"/>
      <c r="P322" s="13"/>
    </row>
    <row r="323" spans="3:16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47"/>
      <c r="O323" s="9"/>
      <c r="P323" s="13"/>
    </row>
    <row r="324" spans="3:16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47"/>
      <c r="O324" s="9"/>
      <c r="P324" s="13"/>
    </row>
    <row r="325" spans="3:16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47"/>
      <c r="O325" s="9"/>
      <c r="P325" s="13"/>
    </row>
    <row r="326" spans="3:1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47"/>
      <c r="O326" s="9"/>
      <c r="P326" s="13"/>
    </row>
    <row r="327" spans="3:16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47"/>
      <c r="O327" s="9"/>
      <c r="P327" s="13"/>
    </row>
    <row r="328" spans="3:16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47"/>
      <c r="O328" s="9"/>
      <c r="P328" s="13"/>
    </row>
    <row r="329" spans="3:16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47"/>
      <c r="O329" s="9"/>
      <c r="P329" s="13"/>
    </row>
    <row r="330" spans="3:16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47"/>
      <c r="O330" s="9"/>
      <c r="P330" s="13"/>
    </row>
    <row r="331" spans="3:16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47"/>
      <c r="O331" s="9"/>
      <c r="P331" s="13"/>
    </row>
    <row r="332" spans="3:16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47"/>
      <c r="O332" s="9"/>
      <c r="P332" s="13"/>
    </row>
    <row r="333" spans="3:16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47"/>
      <c r="O333" s="9"/>
      <c r="P333" s="13"/>
    </row>
    <row r="334" spans="3:16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47"/>
      <c r="O334" s="9"/>
      <c r="P334" s="13"/>
    </row>
    <row r="335" spans="3:16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47"/>
      <c r="O335" s="9"/>
      <c r="P335" s="13"/>
    </row>
    <row r="336" spans="3:1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47"/>
      <c r="O336" s="9"/>
      <c r="P336" s="13"/>
    </row>
    <row r="337" spans="3:16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47"/>
      <c r="O337" s="9"/>
      <c r="P337" s="13"/>
    </row>
    <row r="338" spans="3:16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47"/>
      <c r="O338" s="9"/>
      <c r="P338" s="13"/>
    </row>
    <row r="339" spans="3:16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47"/>
      <c r="O339" s="9"/>
      <c r="P339" s="13"/>
    </row>
    <row r="340" spans="3:16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47"/>
      <c r="O340" s="9"/>
      <c r="P340" s="13"/>
    </row>
    <row r="341" spans="3:16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47"/>
      <c r="O341" s="9"/>
      <c r="P341" s="13"/>
    </row>
    <row r="342" spans="3:16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47"/>
      <c r="O342" s="9"/>
      <c r="P342" s="13"/>
    </row>
    <row r="343" spans="3:16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47"/>
      <c r="O343" s="9"/>
      <c r="P343" s="13"/>
    </row>
    <row r="344" spans="3:16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47"/>
      <c r="O344" s="9"/>
      <c r="P344" s="13"/>
    </row>
    <row r="345" spans="3:16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47"/>
      <c r="O345" s="9"/>
      <c r="P345" s="13"/>
    </row>
    <row r="346" spans="3:1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47"/>
      <c r="O346" s="9"/>
      <c r="P346" s="13"/>
    </row>
    <row r="347" spans="3:16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47"/>
      <c r="O347" s="9"/>
      <c r="P347" s="13"/>
    </row>
    <row r="348" spans="3:16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47"/>
      <c r="O348" s="9"/>
      <c r="P348" s="13"/>
    </row>
    <row r="349" spans="3:16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47"/>
      <c r="O349" s="9"/>
      <c r="P349" s="13"/>
    </row>
    <row r="350" spans="3:16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47"/>
      <c r="O350" s="9"/>
      <c r="P350" s="13"/>
    </row>
    <row r="351" spans="3:16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47"/>
      <c r="O351" s="9"/>
      <c r="P351" s="13"/>
    </row>
    <row r="352" spans="3:16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47"/>
      <c r="O352" s="9"/>
      <c r="P352" s="13"/>
    </row>
    <row r="353" spans="3:16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47"/>
      <c r="O353" s="9"/>
      <c r="P353" s="13"/>
    </row>
    <row r="354" spans="3:16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47"/>
      <c r="O354" s="9"/>
      <c r="P354" s="13"/>
    </row>
    <row r="355" spans="3:16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47"/>
      <c r="O355" s="9"/>
      <c r="P355" s="13"/>
    </row>
    <row r="356" spans="3:1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47"/>
      <c r="O356" s="9"/>
      <c r="P356" s="13"/>
    </row>
    <row r="357" spans="3:16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47"/>
      <c r="O357" s="9"/>
      <c r="P357" s="13"/>
    </row>
    <row r="358" spans="3:16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47"/>
      <c r="O358" s="9"/>
      <c r="P358" s="13"/>
    </row>
    <row r="359" spans="3:16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47"/>
      <c r="O359" s="9"/>
      <c r="P359" s="13"/>
    </row>
    <row r="360" spans="3:16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47"/>
      <c r="O360" s="9"/>
      <c r="P360" s="13"/>
    </row>
    <row r="361" spans="3:16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47"/>
      <c r="O361" s="9"/>
      <c r="P361" s="13"/>
    </row>
    <row r="362" spans="3:16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47"/>
      <c r="O362" s="9"/>
      <c r="P362" s="13"/>
    </row>
    <row r="363" spans="3:16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47"/>
      <c r="O363" s="9"/>
      <c r="P363" s="13"/>
    </row>
    <row r="364" spans="3:16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47"/>
      <c r="O364" s="9"/>
      <c r="P364" s="13"/>
    </row>
    <row r="365" spans="3:16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47"/>
      <c r="O365" s="9"/>
      <c r="P365" s="13"/>
    </row>
    <row r="366" spans="3:1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47"/>
      <c r="O366" s="9"/>
      <c r="P366" s="9"/>
    </row>
    <row r="367" spans="3:16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47"/>
      <c r="O367" s="9"/>
      <c r="P367" s="9"/>
    </row>
    <row r="368" spans="3:16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47"/>
      <c r="O368" s="9"/>
      <c r="P368" s="9"/>
    </row>
    <row r="369" spans="3:16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47"/>
      <c r="O369" s="9"/>
      <c r="P369" s="9"/>
    </row>
    <row r="370" spans="3:16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47"/>
      <c r="O370" s="9"/>
      <c r="P370" s="9"/>
    </row>
    <row r="371" spans="3:16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47"/>
      <c r="O371" s="9"/>
      <c r="P371" s="9"/>
    </row>
    <row r="372" spans="3:16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47"/>
      <c r="O372" s="9"/>
      <c r="P372" s="9"/>
    </row>
    <row r="373" spans="3:16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47"/>
      <c r="O373" s="9"/>
      <c r="P373" s="9"/>
    </row>
    <row r="374" spans="3:16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47"/>
      <c r="O374" s="9"/>
      <c r="P374" s="9"/>
    </row>
    <row r="375" spans="3:16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47"/>
      <c r="O375" s="9"/>
      <c r="P375" s="9"/>
    </row>
    <row r="376" spans="3:1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47"/>
      <c r="O376" s="9"/>
      <c r="P376" s="9"/>
    </row>
    <row r="377" spans="3:16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47"/>
      <c r="O377" s="9"/>
      <c r="P377" s="9"/>
    </row>
    <row r="378" spans="3:16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47"/>
      <c r="O378" s="9"/>
      <c r="P378" s="9"/>
    </row>
    <row r="379" spans="3:16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47"/>
      <c r="O379" s="9"/>
      <c r="P379" s="9"/>
    </row>
    <row r="380" spans="3:16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47"/>
      <c r="O380" s="9"/>
      <c r="P380" s="9"/>
    </row>
    <row r="381" spans="3:16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47"/>
      <c r="O381" s="9"/>
      <c r="P381" s="9"/>
    </row>
    <row r="382" spans="3:16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47"/>
      <c r="O382" s="9"/>
      <c r="P382" s="9"/>
    </row>
    <row r="383" spans="3:16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47"/>
      <c r="O383" s="9"/>
      <c r="P383" s="9"/>
    </row>
    <row r="384" spans="3:16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47"/>
      <c r="O384" s="9"/>
      <c r="P384" s="9"/>
    </row>
    <row r="385" spans="3:16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47"/>
      <c r="O385" s="9"/>
      <c r="P385" s="9"/>
    </row>
    <row r="386" spans="3:1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47"/>
      <c r="O386" s="9"/>
      <c r="P386" s="9"/>
    </row>
    <row r="387" spans="3:16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47"/>
      <c r="O387" s="9"/>
      <c r="P387" s="9"/>
    </row>
    <row r="388" spans="3:16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47"/>
      <c r="O388" s="9"/>
      <c r="P388" s="9"/>
    </row>
    <row r="389" spans="3:16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47"/>
      <c r="O389" s="9"/>
      <c r="P389" s="9"/>
    </row>
    <row r="390" spans="3:16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47"/>
      <c r="O390" s="9"/>
      <c r="P390" s="9"/>
    </row>
    <row r="391" spans="3:16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147"/>
      <c r="O391" s="9"/>
      <c r="P391" s="9"/>
    </row>
    <row r="392" spans="3:16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147"/>
      <c r="O392" s="9"/>
      <c r="P392" s="9"/>
    </row>
    <row r="393" spans="3:16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47"/>
      <c r="O393" s="9"/>
      <c r="P393" s="9"/>
    </row>
    <row r="394" spans="3:16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47"/>
      <c r="O394" s="9"/>
      <c r="P394" s="9"/>
    </row>
    <row r="395" spans="3:16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47"/>
      <c r="O395" s="9"/>
      <c r="P395" s="9"/>
    </row>
    <row r="396" spans="3:16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47"/>
      <c r="O396" s="9"/>
      <c r="P396" s="9"/>
    </row>
    <row r="397" spans="3:16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47"/>
      <c r="O397" s="9"/>
      <c r="P397" s="9"/>
    </row>
    <row r="398" spans="3:16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147"/>
      <c r="O398" s="9"/>
      <c r="P398" s="9"/>
    </row>
    <row r="399" spans="3:16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147"/>
      <c r="O399" s="9"/>
      <c r="P399" s="9"/>
    </row>
    <row r="400" spans="3:16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47"/>
      <c r="O400" s="9"/>
      <c r="P400" s="9"/>
    </row>
    <row r="401" spans="3:16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47"/>
      <c r="O401" s="9"/>
      <c r="P401" s="9"/>
    </row>
    <row r="402" spans="3:16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147"/>
      <c r="O402" s="9"/>
      <c r="P402" s="9"/>
    </row>
    <row r="403" spans="3:16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147"/>
      <c r="O403" s="9"/>
      <c r="P403" s="9"/>
    </row>
    <row r="404" spans="3:16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147"/>
      <c r="O404" s="9"/>
      <c r="P404" s="9"/>
    </row>
    <row r="405" spans="3:16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147"/>
      <c r="O405" s="9"/>
      <c r="P405" s="9"/>
    </row>
    <row r="406" spans="3:16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147"/>
      <c r="O406" s="9"/>
      <c r="P406" s="9"/>
    </row>
    <row r="407" spans="3:16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147"/>
      <c r="O407" s="9"/>
      <c r="P407" s="9"/>
    </row>
    <row r="408" spans="3:16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47"/>
      <c r="O408" s="9"/>
      <c r="P408" s="9"/>
    </row>
    <row r="409" spans="3:16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147"/>
      <c r="O409" s="9"/>
      <c r="P409" s="9"/>
    </row>
    <row r="410" spans="3:16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147"/>
      <c r="O410" s="9"/>
      <c r="P410" s="9"/>
    </row>
    <row r="411" spans="3:16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147"/>
      <c r="O411" s="9"/>
      <c r="P411" s="9"/>
    </row>
    <row r="412" spans="3:16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147"/>
      <c r="O412" s="9"/>
      <c r="P412" s="9"/>
    </row>
    <row r="413" spans="3:16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147"/>
      <c r="O413" s="9"/>
      <c r="P413" s="9"/>
    </row>
    <row r="414" spans="3:16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147"/>
      <c r="O414" s="9"/>
      <c r="P414" s="9"/>
    </row>
    <row r="415" spans="3:16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147"/>
      <c r="O415" s="9"/>
      <c r="P415" s="9"/>
    </row>
    <row r="416" spans="3:16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147"/>
      <c r="O416" s="9"/>
      <c r="P416" s="9"/>
    </row>
    <row r="417" spans="3:16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147"/>
      <c r="O417" s="9"/>
      <c r="P417" s="9"/>
    </row>
    <row r="418" spans="3:16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147"/>
      <c r="O418" s="9"/>
      <c r="P418" s="9"/>
    </row>
    <row r="419" spans="3:16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147"/>
      <c r="O419" s="9"/>
      <c r="P419" s="9"/>
    </row>
    <row r="420" spans="3:16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147"/>
      <c r="O420" s="9"/>
      <c r="P420" s="9"/>
    </row>
    <row r="421" spans="3:16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147"/>
      <c r="O421" s="9"/>
      <c r="P421" s="9"/>
    </row>
    <row r="422" spans="3:16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147"/>
      <c r="O422" s="9"/>
      <c r="P422" s="9"/>
    </row>
    <row r="423" spans="3:16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147"/>
      <c r="O423" s="9"/>
      <c r="P423" s="9"/>
    </row>
    <row r="424" spans="3:16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147"/>
      <c r="O424" s="9"/>
      <c r="P424" s="9"/>
    </row>
    <row r="425" spans="3:16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147"/>
      <c r="O425" s="9"/>
      <c r="P425" s="9"/>
    </row>
    <row r="426" spans="3:16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147"/>
      <c r="O426" s="9"/>
      <c r="P426" s="9"/>
    </row>
    <row r="427" spans="3:16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147"/>
      <c r="O427" s="9"/>
      <c r="P427" s="9"/>
    </row>
    <row r="428" spans="3:16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147"/>
      <c r="O428" s="9"/>
      <c r="P428" s="9"/>
    </row>
    <row r="429" spans="3:16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147"/>
      <c r="O429" s="9"/>
      <c r="P429" s="9"/>
    </row>
    <row r="430" spans="3:16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147"/>
      <c r="O430" s="9"/>
      <c r="P430" s="9"/>
    </row>
    <row r="431" spans="3:16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147"/>
      <c r="O431" s="9"/>
      <c r="P431" s="9"/>
    </row>
    <row r="432" spans="3:16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147"/>
      <c r="O432" s="9"/>
      <c r="P432" s="9"/>
    </row>
    <row r="433" spans="3:16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147"/>
      <c r="O433" s="9"/>
      <c r="P433" s="9"/>
    </row>
    <row r="434" spans="3:16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147"/>
      <c r="O434" s="9"/>
      <c r="P434" s="9"/>
    </row>
    <row r="435" spans="3:16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147"/>
      <c r="O435" s="9"/>
      <c r="P435" s="9"/>
    </row>
    <row r="436" spans="3:16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147"/>
      <c r="O436" s="9"/>
      <c r="P436" s="9"/>
    </row>
    <row r="437" spans="3:16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147"/>
      <c r="O437" s="9"/>
      <c r="P437" s="9"/>
    </row>
    <row r="438" spans="3:16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147"/>
      <c r="O438" s="9"/>
      <c r="P438" s="9"/>
    </row>
    <row r="439" spans="3:16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147"/>
      <c r="O439" s="9"/>
      <c r="P439" s="9"/>
    </row>
    <row r="440" spans="3:16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147"/>
      <c r="O440" s="9"/>
      <c r="P440" s="9"/>
    </row>
    <row r="441" spans="3:16">
      <c r="O441" s="9"/>
      <c r="P441" s="9"/>
    </row>
    <row r="442" spans="3:16">
      <c r="O442" s="9"/>
      <c r="P442" s="9"/>
    </row>
    <row r="443" spans="3:16">
      <c r="O443" s="9"/>
      <c r="P443" s="9"/>
    </row>
    <row r="444" spans="3:16">
      <c r="O444" s="9"/>
      <c r="P444" s="9"/>
    </row>
    <row r="445" spans="3:16">
      <c r="O445" s="9"/>
      <c r="P445" s="9"/>
    </row>
    <row r="446" spans="3:16">
      <c r="O446" s="9"/>
      <c r="P446" s="9"/>
    </row>
    <row r="447" spans="3:16">
      <c r="O447" s="9"/>
      <c r="P447" s="9"/>
    </row>
    <row r="448" spans="3:16">
      <c r="O448" s="9"/>
      <c r="P448" s="9"/>
    </row>
    <row r="449" spans="15:16">
      <c r="O449" s="9"/>
      <c r="P449" s="9"/>
    </row>
    <row r="450" spans="15:16">
      <c r="O450" s="9"/>
      <c r="P450" s="9"/>
    </row>
    <row r="451" spans="15:16">
      <c r="O451" s="9"/>
      <c r="P451" s="9"/>
    </row>
    <row r="452" spans="15:16">
      <c r="O452" s="9"/>
      <c r="P452" s="9"/>
    </row>
    <row r="453" spans="15:16">
      <c r="O453" s="9"/>
      <c r="P453" s="9"/>
    </row>
    <row r="454" spans="15:16">
      <c r="O454" s="9"/>
      <c r="P454" s="9"/>
    </row>
    <row r="455" spans="15:16">
      <c r="O455" s="9"/>
      <c r="P455" s="9"/>
    </row>
    <row r="456" spans="15:16">
      <c r="O456" s="9"/>
      <c r="P456" s="9"/>
    </row>
    <row r="457" spans="15:16">
      <c r="O457" s="9"/>
      <c r="P457" s="9"/>
    </row>
    <row r="458" spans="15:16">
      <c r="O458" s="9"/>
      <c r="P458" s="9"/>
    </row>
    <row r="459" spans="15:16">
      <c r="O459" s="9"/>
      <c r="P459" s="9"/>
    </row>
    <row r="460" spans="15:16">
      <c r="O460" s="9"/>
      <c r="P460" s="9"/>
    </row>
    <row r="461" spans="15:16">
      <c r="O461" s="9"/>
      <c r="P461" s="9"/>
    </row>
    <row r="462" spans="15:16">
      <c r="O462" s="9"/>
      <c r="P462" s="9"/>
    </row>
    <row r="463" spans="15:16">
      <c r="O463" s="9"/>
      <c r="P463" s="9"/>
    </row>
    <row r="464" spans="15:16">
      <c r="O464" s="9"/>
      <c r="P464" s="9"/>
    </row>
    <row r="465" spans="15:16">
      <c r="O465" s="9"/>
      <c r="P465" s="9"/>
    </row>
    <row r="466" spans="15:16">
      <c r="O466" s="9"/>
      <c r="P466" s="9"/>
    </row>
    <row r="467" spans="15:16">
      <c r="O467" s="9"/>
      <c r="P467" s="9"/>
    </row>
    <row r="468" spans="15:16">
      <c r="O468" s="9"/>
      <c r="P468" s="9"/>
    </row>
    <row r="469" spans="15:16">
      <c r="O469" s="9"/>
      <c r="P469" s="9"/>
    </row>
    <row r="470" spans="15:16">
      <c r="O470" s="9"/>
      <c r="P470" s="9"/>
    </row>
    <row r="471" spans="15:16">
      <c r="O471" s="9"/>
      <c r="P471" s="9"/>
    </row>
    <row r="472" spans="15:16">
      <c r="O472" s="9"/>
      <c r="P472" s="9"/>
    </row>
    <row r="473" spans="15:16">
      <c r="O473" s="9"/>
      <c r="P473" s="9"/>
    </row>
    <row r="474" spans="15:16">
      <c r="O474" s="9"/>
      <c r="P474" s="9"/>
    </row>
    <row r="475" spans="15:16">
      <c r="O475" s="9"/>
      <c r="P475" s="9"/>
    </row>
    <row r="476" spans="15:16">
      <c r="O476" s="9"/>
      <c r="P476" s="9"/>
    </row>
    <row r="477" spans="15:16">
      <c r="O477" s="9"/>
      <c r="P477" s="9"/>
    </row>
    <row r="478" spans="15:16">
      <c r="O478" s="9"/>
      <c r="P478" s="9"/>
    </row>
    <row r="479" spans="15:16">
      <c r="O479" s="9"/>
      <c r="P479" s="9"/>
    </row>
    <row r="480" spans="15:16">
      <c r="O480" s="9"/>
      <c r="P480" s="9"/>
    </row>
    <row r="481" spans="15:16">
      <c r="O481" s="9"/>
      <c r="P481" s="9"/>
    </row>
    <row r="482" spans="15:16">
      <c r="O482" s="9"/>
      <c r="P482" s="9"/>
    </row>
    <row r="483" spans="15:16">
      <c r="O483" s="9"/>
      <c r="P483" s="9"/>
    </row>
    <row r="484" spans="15:16">
      <c r="O484" s="9"/>
      <c r="P484" s="9"/>
    </row>
    <row r="485" spans="15:16">
      <c r="O485" s="9"/>
      <c r="P485" s="9"/>
    </row>
    <row r="486" spans="15:16">
      <c r="O486" s="9"/>
      <c r="P486" s="9"/>
    </row>
    <row r="487" spans="15:16">
      <c r="O487" s="9"/>
      <c r="P487" s="9"/>
    </row>
    <row r="488" spans="15:16">
      <c r="O488" s="9"/>
      <c r="P488" s="9"/>
    </row>
    <row r="489" spans="15:16">
      <c r="O489" s="9"/>
      <c r="P489" s="9"/>
    </row>
    <row r="490" spans="15:16">
      <c r="O490" s="9"/>
      <c r="P490" s="9"/>
    </row>
    <row r="491" spans="15:16">
      <c r="O491" s="9"/>
      <c r="P491" s="9"/>
    </row>
    <row r="492" spans="15:16">
      <c r="O492" s="9"/>
      <c r="P492" s="9"/>
    </row>
    <row r="493" spans="15:16">
      <c r="O493" s="9"/>
      <c r="P493" s="9"/>
    </row>
    <row r="494" spans="15:16">
      <c r="O494" s="9"/>
      <c r="P494" s="9"/>
    </row>
    <row r="495" spans="15:16">
      <c r="O495" s="9"/>
      <c r="P495" s="9"/>
    </row>
    <row r="496" spans="15:16">
      <c r="O496" s="9"/>
      <c r="P496" s="9"/>
    </row>
    <row r="497" spans="15:16">
      <c r="O497" s="9"/>
      <c r="P497" s="9"/>
    </row>
    <row r="498" spans="15:16">
      <c r="O498" s="9"/>
      <c r="P498" s="9"/>
    </row>
    <row r="499" spans="15:16">
      <c r="O499" s="9"/>
      <c r="P499" s="9"/>
    </row>
    <row r="500" spans="15:16">
      <c r="O500" s="9"/>
      <c r="P500" s="9"/>
    </row>
    <row r="501" spans="15:16">
      <c r="O501" s="9"/>
      <c r="P501" s="9"/>
    </row>
    <row r="502" spans="15:16">
      <c r="O502" s="9"/>
      <c r="P502" s="9"/>
    </row>
    <row r="503" spans="15:16">
      <c r="O503" s="9"/>
      <c r="P503" s="9"/>
    </row>
    <row r="504" spans="15:16">
      <c r="O504" s="9"/>
      <c r="P504" s="9"/>
    </row>
    <row r="505" spans="15:16">
      <c r="O505" s="9"/>
      <c r="P505" s="9"/>
    </row>
    <row r="506" spans="15:16">
      <c r="O506" s="9"/>
      <c r="P506" s="9"/>
    </row>
    <row r="507" spans="15:16">
      <c r="O507" s="9"/>
      <c r="P507" s="9"/>
    </row>
    <row r="508" spans="15:16">
      <c r="O508" s="9"/>
      <c r="P508" s="9"/>
    </row>
    <row r="509" spans="15:16">
      <c r="O509" s="9"/>
      <c r="P509" s="9"/>
    </row>
    <row r="510" spans="15:16">
      <c r="O510" s="9"/>
      <c r="P510" s="9"/>
    </row>
    <row r="511" spans="15:16">
      <c r="O511" s="9"/>
      <c r="P511" s="9"/>
    </row>
    <row r="512" spans="15:16">
      <c r="O512" s="9"/>
      <c r="P512" s="9"/>
    </row>
    <row r="513" spans="15:16">
      <c r="O513" s="9"/>
      <c r="P513" s="9"/>
    </row>
    <row r="514" spans="15:16">
      <c r="O514" s="9"/>
      <c r="P514" s="9"/>
    </row>
    <row r="515" spans="15:16">
      <c r="O515" s="9"/>
      <c r="P515" s="9"/>
    </row>
    <row r="516" spans="15:16">
      <c r="O516" s="9"/>
      <c r="P516" s="9"/>
    </row>
    <row r="517" spans="15:16">
      <c r="O517" s="9"/>
      <c r="P517" s="9"/>
    </row>
    <row r="518" spans="15:16">
      <c r="O518" s="9"/>
      <c r="P518" s="9"/>
    </row>
    <row r="519" spans="15:16">
      <c r="O519" s="9"/>
      <c r="P519" s="9"/>
    </row>
    <row r="520" spans="15:16">
      <c r="O520" s="9"/>
      <c r="P520" s="9"/>
    </row>
    <row r="521" spans="15:16">
      <c r="O521" s="9"/>
      <c r="P521" s="9"/>
    </row>
    <row r="522" spans="15:16">
      <c r="O522" s="9"/>
      <c r="P522" s="9"/>
    </row>
    <row r="523" spans="15:16">
      <c r="O523" s="9"/>
      <c r="P523" s="9"/>
    </row>
    <row r="524" spans="15:16">
      <c r="O524" s="9"/>
      <c r="P524" s="9"/>
    </row>
    <row r="525" spans="15:16">
      <c r="O525" s="9"/>
      <c r="P525" s="9"/>
    </row>
    <row r="526" spans="15:16">
      <c r="O526" s="9"/>
      <c r="P526" s="9"/>
    </row>
    <row r="527" spans="15:16">
      <c r="O527" s="9"/>
      <c r="P527" s="9"/>
    </row>
    <row r="528" spans="15:16">
      <c r="O528" s="9"/>
      <c r="P528" s="9"/>
    </row>
    <row r="529" spans="15:16">
      <c r="O529" s="9"/>
      <c r="P529" s="9"/>
    </row>
    <row r="530" spans="15:16">
      <c r="O530" s="9"/>
      <c r="P530" s="9"/>
    </row>
    <row r="531" spans="15:16">
      <c r="O531" s="9"/>
      <c r="P531" s="9"/>
    </row>
    <row r="532" spans="15:16">
      <c r="O532" s="9"/>
      <c r="P532" s="9"/>
    </row>
    <row r="533" spans="15:16">
      <c r="O533" s="9"/>
      <c r="P533" s="9"/>
    </row>
    <row r="534" spans="15:16">
      <c r="O534" s="9"/>
      <c r="P534" s="9"/>
    </row>
    <row r="535" spans="15:16">
      <c r="O535" s="9"/>
      <c r="P535" s="9"/>
    </row>
    <row r="536" spans="15:16">
      <c r="O536" s="9"/>
      <c r="P536" s="9"/>
    </row>
    <row r="537" spans="15:16">
      <c r="O537" s="9"/>
      <c r="P537" s="9"/>
    </row>
    <row r="538" spans="15:16">
      <c r="O538" s="9"/>
      <c r="P538" s="9"/>
    </row>
    <row r="539" spans="15:16">
      <c r="O539" s="9"/>
      <c r="P539" s="9"/>
    </row>
    <row r="540" spans="15:16">
      <c r="O540" s="9"/>
      <c r="P540" s="9"/>
    </row>
    <row r="541" spans="15:16">
      <c r="O541" s="9"/>
      <c r="P541" s="9"/>
    </row>
    <row r="542" spans="15:16">
      <c r="O542" s="9"/>
      <c r="P542" s="9"/>
    </row>
    <row r="543" spans="15:16">
      <c r="O543" s="9"/>
      <c r="P543" s="9"/>
    </row>
    <row r="544" spans="15:16">
      <c r="O544" s="9"/>
      <c r="P544" s="9"/>
    </row>
    <row r="545" spans="15:16">
      <c r="O545" s="9"/>
      <c r="P545" s="9"/>
    </row>
    <row r="546" spans="15:16">
      <c r="O546" s="9"/>
      <c r="P546" s="9"/>
    </row>
    <row r="547" spans="15:16">
      <c r="O547" s="9"/>
      <c r="P547" s="9"/>
    </row>
    <row r="548" spans="15:16">
      <c r="O548" s="9"/>
      <c r="P548" s="9"/>
    </row>
    <row r="549" spans="15:16">
      <c r="O549" s="9"/>
      <c r="P549" s="9"/>
    </row>
    <row r="550" spans="15:16">
      <c r="O550" s="9"/>
      <c r="P550" s="9"/>
    </row>
    <row r="551" spans="15:16">
      <c r="O551" s="9"/>
      <c r="P551" s="9"/>
    </row>
    <row r="552" spans="15:16">
      <c r="O552" s="9"/>
      <c r="P552" s="9"/>
    </row>
    <row r="553" spans="15:16">
      <c r="O553" s="9"/>
      <c r="P553" s="9"/>
    </row>
    <row r="554" spans="15:16">
      <c r="O554" s="9"/>
      <c r="P554" s="9"/>
    </row>
    <row r="555" spans="15:16">
      <c r="O555" s="9"/>
      <c r="P555" s="9"/>
    </row>
    <row r="556" spans="15:16">
      <c r="O556" s="9"/>
      <c r="P556" s="9"/>
    </row>
    <row r="557" spans="15:16">
      <c r="O557" s="9"/>
      <c r="P557" s="9"/>
    </row>
    <row r="558" spans="15:16">
      <c r="O558" s="9"/>
      <c r="P558" s="9"/>
    </row>
    <row r="559" spans="15:16">
      <c r="O559" s="9"/>
      <c r="P559" s="9"/>
    </row>
    <row r="560" spans="15:16">
      <c r="O560" s="9"/>
      <c r="P560" s="9"/>
    </row>
    <row r="561" spans="15:16">
      <c r="O561" s="9"/>
      <c r="P561" s="9"/>
    </row>
    <row r="562" spans="15:16">
      <c r="O562" s="9"/>
      <c r="P562" s="9"/>
    </row>
    <row r="563" spans="15:16">
      <c r="O563" s="9"/>
      <c r="P563" s="9"/>
    </row>
    <row r="564" spans="15:16">
      <c r="O564" s="9"/>
      <c r="P564" s="9"/>
    </row>
    <row r="565" spans="15:16">
      <c r="O565" s="9"/>
      <c r="P565" s="9"/>
    </row>
    <row r="566" spans="15:16">
      <c r="O566" s="9"/>
      <c r="P566" s="9"/>
    </row>
    <row r="567" spans="15:16">
      <c r="O567" s="9"/>
      <c r="P567" s="9"/>
    </row>
    <row r="568" spans="15:16">
      <c r="O568" s="9"/>
      <c r="P568" s="9"/>
    </row>
    <row r="569" spans="15:16">
      <c r="O569" s="9"/>
      <c r="P569" s="9"/>
    </row>
    <row r="570" spans="15:16">
      <c r="O570" s="9"/>
      <c r="P570" s="9"/>
    </row>
    <row r="571" spans="15:16">
      <c r="O571" s="9"/>
      <c r="P571" s="9"/>
    </row>
    <row r="572" spans="15:16">
      <c r="O572" s="9"/>
      <c r="P572" s="9"/>
    </row>
    <row r="573" spans="15:16">
      <c r="O573" s="9"/>
      <c r="P573" s="9"/>
    </row>
    <row r="574" spans="15:16">
      <c r="O574" s="9"/>
      <c r="P574" s="9"/>
    </row>
    <row r="575" spans="15:16">
      <c r="O575" s="9"/>
      <c r="P575" s="9"/>
    </row>
    <row r="576" spans="15:16">
      <c r="O576" s="9"/>
      <c r="P576" s="9"/>
    </row>
    <row r="577" spans="15:16">
      <c r="O577" s="9"/>
      <c r="P577" s="9"/>
    </row>
    <row r="578" spans="15:16">
      <c r="O578" s="9"/>
      <c r="P578" s="9"/>
    </row>
    <row r="579" spans="15:16">
      <c r="O579" s="9"/>
      <c r="P579" s="9"/>
    </row>
    <row r="580" spans="15:16">
      <c r="O580" s="9"/>
      <c r="P580" s="9"/>
    </row>
    <row r="581" spans="15:16">
      <c r="O581" s="9"/>
      <c r="P581" s="9"/>
    </row>
    <row r="582" spans="15:16">
      <c r="O582" s="9"/>
      <c r="P582" s="9"/>
    </row>
    <row r="583" spans="15:16">
      <c r="O583" s="9"/>
      <c r="P583" s="9"/>
    </row>
    <row r="584" spans="15:16">
      <c r="O584" s="9"/>
      <c r="P584" s="9"/>
    </row>
    <row r="585" spans="15:16">
      <c r="O585" s="9"/>
      <c r="P585" s="9"/>
    </row>
    <row r="586" spans="15:16">
      <c r="O586" s="9"/>
      <c r="P586" s="9"/>
    </row>
    <row r="587" spans="15:16">
      <c r="O587" s="9"/>
      <c r="P587" s="9"/>
    </row>
    <row r="588" spans="15:16">
      <c r="O588" s="9"/>
      <c r="P588" s="9"/>
    </row>
    <row r="589" spans="15:16">
      <c r="O589" s="9"/>
      <c r="P589" s="9"/>
    </row>
    <row r="590" spans="15:16">
      <c r="O590" s="9"/>
      <c r="P590" s="9"/>
    </row>
    <row r="591" spans="15:16">
      <c r="O591" s="9"/>
      <c r="P591" s="9"/>
    </row>
    <row r="592" spans="15:16">
      <c r="O592" s="9"/>
      <c r="P592" s="9"/>
    </row>
    <row r="593" spans="15:16">
      <c r="O593" s="9"/>
      <c r="P593" s="9"/>
    </row>
    <row r="594" spans="15:16">
      <c r="O594" s="9"/>
      <c r="P594" s="9"/>
    </row>
    <row r="595" spans="15:16">
      <c r="O595" s="9"/>
      <c r="P595" s="9"/>
    </row>
    <row r="596" spans="15:16">
      <c r="O596" s="9"/>
      <c r="P596" s="9"/>
    </row>
    <row r="597" spans="15:16">
      <c r="O597" s="9"/>
      <c r="P597" s="9"/>
    </row>
    <row r="598" spans="15:16">
      <c r="O598" s="9"/>
      <c r="P598" s="9"/>
    </row>
    <row r="599" spans="15:16">
      <c r="O599" s="9"/>
      <c r="P599" s="9"/>
    </row>
    <row r="600" spans="15:16">
      <c r="O600" s="9"/>
      <c r="P600" s="9"/>
    </row>
    <row r="601" spans="15:16">
      <c r="O601" s="9"/>
      <c r="P601" s="9"/>
    </row>
    <row r="602" spans="15:16">
      <c r="O602" s="9"/>
      <c r="P602" s="9"/>
    </row>
    <row r="603" spans="15:16">
      <c r="O603" s="9"/>
      <c r="P603" s="9"/>
    </row>
    <row r="604" spans="15:16">
      <c r="O604" s="9"/>
      <c r="P604" s="9"/>
    </row>
    <row r="605" spans="15:16">
      <c r="O605" s="9"/>
      <c r="P605" s="9"/>
    </row>
    <row r="606" spans="15:16">
      <c r="O606" s="9"/>
      <c r="P606" s="9"/>
    </row>
    <row r="607" spans="15:16">
      <c r="O607" s="9"/>
      <c r="P607" s="9"/>
    </row>
    <row r="608" spans="15:16">
      <c r="O608" s="9"/>
      <c r="P608" s="9"/>
    </row>
    <row r="609" spans="15:16">
      <c r="O609" s="9"/>
      <c r="P609" s="9"/>
    </row>
    <row r="610" spans="15:16">
      <c r="O610" s="9"/>
      <c r="P610" s="9"/>
    </row>
    <row r="611" spans="15:16">
      <c r="O611" s="9"/>
      <c r="P611" s="9"/>
    </row>
    <row r="612" spans="15:16">
      <c r="O612" s="9"/>
      <c r="P612" s="9"/>
    </row>
    <row r="613" spans="15:16">
      <c r="O613" s="9"/>
      <c r="P613" s="9"/>
    </row>
    <row r="614" spans="15:16">
      <c r="O614" s="9"/>
      <c r="P614" s="9"/>
    </row>
    <row r="615" spans="15:16">
      <c r="O615" s="9"/>
      <c r="P615" s="9"/>
    </row>
    <row r="616" spans="15:16">
      <c r="O616" s="9"/>
      <c r="P616" s="9"/>
    </row>
    <row r="617" spans="15:16">
      <c r="O617" s="9"/>
      <c r="P617" s="9"/>
    </row>
    <row r="618" spans="15:16">
      <c r="O618" s="9"/>
      <c r="P618" s="9"/>
    </row>
    <row r="619" spans="15:16">
      <c r="O619" s="9"/>
      <c r="P619" s="9"/>
    </row>
    <row r="620" spans="15:16">
      <c r="O620" s="9"/>
      <c r="P620" s="9"/>
    </row>
    <row r="621" spans="15:16">
      <c r="O621" s="9"/>
      <c r="P621" s="9"/>
    </row>
    <row r="622" spans="15:16">
      <c r="O622" s="9"/>
      <c r="P622" s="9"/>
    </row>
    <row r="623" spans="15:16">
      <c r="O623" s="9"/>
      <c r="P623" s="9"/>
    </row>
    <row r="624" spans="15:16">
      <c r="O624" s="9"/>
      <c r="P624" s="9"/>
    </row>
    <row r="625" spans="15:16">
      <c r="O625" s="9"/>
      <c r="P625" s="9"/>
    </row>
    <row r="626" spans="15:16">
      <c r="O626" s="9"/>
      <c r="P626" s="9"/>
    </row>
    <row r="627" spans="15:16">
      <c r="O627" s="9"/>
      <c r="P627" s="9"/>
    </row>
    <row r="628" spans="15:16">
      <c r="O628" s="9"/>
      <c r="P628" s="9"/>
    </row>
    <row r="629" spans="15:16">
      <c r="O629" s="9"/>
      <c r="P629" s="9"/>
    </row>
    <row r="630" spans="15:16">
      <c r="O630" s="9"/>
      <c r="P630" s="9"/>
    </row>
    <row r="631" spans="15:16">
      <c r="O631" s="9"/>
      <c r="P631" s="9"/>
    </row>
    <row r="632" spans="15:16">
      <c r="O632" s="9"/>
      <c r="P632" s="9"/>
    </row>
    <row r="633" spans="15:16">
      <c r="O633" s="9"/>
      <c r="P633" s="9"/>
    </row>
    <row r="634" spans="15:16">
      <c r="O634" s="9"/>
      <c r="P634" s="9"/>
    </row>
    <row r="635" spans="15:16">
      <c r="O635" s="9"/>
      <c r="P635" s="9"/>
    </row>
    <row r="636" spans="15:16">
      <c r="O636" s="9"/>
      <c r="P636" s="9"/>
    </row>
    <row r="637" spans="15:16">
      <c r="O637" s="9"/>
      <c r="P637" s="9"/>
    </row>
    <row r="638" spans="15:16">
      <c r="O638" s="9"/>
      <c r="P638" s="9"/>
    </row>
    <row r="639" spans="15:16">
      <c r="O639" s="9"/>
      <c r="P639" s="9"/>
    </row>
    <row r="640" spans="15:16">
      <c r="O640" s="9"/>
      <c r="P640" s="9"/>
    </row>
    <row r="641" spans="15:16">
      <c r="O641" s="9"/>
      <c r="P641" s="9"/>
    </row>
    <row r="642" spans="15:16">
      <c r="O642" s="9"/>
      <c r="P642" s="9"/>
    </row>
    <row r="643" spans="15:16">
      <c r="O643" s="9"/>
      <c r="P643" s="9"/>
    </row>
  </sheetData>
  <mergeCells count="5">
    <mergeCell ref="A180:H180"/>
    <mergeCell ref="A1:P1"/>
    <mergeCell ref="A2:P2"/>
    <mergeCell ref="A3:P3"/>
    <mergeCell ref="A4:P4"/>
  </mergeCells>
  <phoneticPr fontId="16" type="noConversion"/>
  <pageMargins left="0.6692913385826772" right="0.6692913385826772" top="0.62992125984251968" bottom="1.08" header="0.51181102362204722" footer="0.51181102362204722"/>
  <pageSetup paperSize="9" scale="99" orientation="portrait" r:id="rId1"/>
  <headerFooter alignWithMargins="0"/>
  <rowBreaks count="3" manualBreakCount="3">
    <brk id="56" max="14" man="1"/>
    <brk id="106" max="14" man="1"/>
    <brk id="156" max="14" man="1"/>
  </rowBreaks>
  <ignoredErrors>
    <ignoredError sqref="H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3"/>
  <sheetViews>
    <sheetView view="pageBreakPreview" zoomScale="130" zoomScaleSheetLayoutView="130" workbookViewId="0">
      <pane ySplit="5" topLeftCell="A6" activePane="bottomLeft" state="frozenSplit"/>
      <selection pane="bottomLeft" activeCell="S8" sqref="S8"/>
    </sheetView>
  </sheetViews>
  <sheetFormatPr defaultRowHeight="12.75"/>
  <cols>
    <col min="1" max="1" width="23.85546875" style="3" customWidth="1"/>
    <col min="2" max="2" width="2" style="3" customWidth="1"/>
    <col min="3" max="3" width="6.7109375" style="3" hidden="1" customWidth="1"/>
    <col min="4" max="5" width="8" style="3" hidden="1" customWidth="1"/>
    <col min="6" max="6" width="9.7109375" style="3" hidden="1" customWidth="1"/>
    <col min="7" max="9" width="8" style="3" hidden="1" customWidth="1"/>
    <col min="10" max="14" width="8" style="3" customWidth="1"/>
    <col min="15" max="15" width="2" style="3" customWidth="1"/>
    <col min="16" max="16" width="22.85546875" style="3" customWidth="1"/>
    <col min="17" max="16384" width="9.140625" style="3"/>
  </cols>
  <sheetData>
    <row r="1" spans="1:18" s="1" customFormat="1" ht="12.95" customHeight="1">
      <c r="A1" s="314" t="s">
        <v>132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8" s="2" customFormat="1" ht="17.100000000000001" customHeight="1">
      <c r="A2" s="315" t="s">
        <v>160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8" ht="12.95" customHeight="1">
      <c r="A3" s="316" t="s">
        <v>163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8" ht="12.9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8" s="4" customFormat="1" ht="20.100000000000001" customHeight="1" thickBot="1">
      <c r="A5" s="184" t="s">
        <v>1</v>
      </c>
      <c r="B5" s="185"/>
      <c r="C5" s="186">
        <v>2001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7">
        <v>2008</v>
      </c>
      <c r="J5" s="187">
        <v>2009</v>
      </c>
      <c r="K5" s="187">
        <v>2010</v>
      </c>
      <c r="L5" s="187">
        <v>2011</v>
      </c>
      <c r="M5" s="187">
        <v>2012</v>
      </c>
      <c r="N5" s="187">
        <v>2013</v>
      </c>
      <c r="O5" s="185"/>
      <c r="P5" s="186" t="s">
        <v>2</v>
      </c>
    </row>
    <row r="6" spans="1:18" s="5" customFormat="1">
      <c r="A6" s="150"/>
      <c r="B6" s="188" t="s">
        <v>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73" t="s">
        <v>4</v>
      </c>
      <c r="P6" s="150"/>
    </row>
    <row r="7" spans="1:18" s="6" customFormat="1" ht="20.100000000000001" customHeight="1">
      <c r="A7" s="165" t="s">
        <v>116</v>
      </c>
      <c r="B7" s="188" t="s">
        <v>144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73" t="s">
        <v>145</v>
      </c>
      <c r="P7" s="189" t="s">
        <v>82</v>
      </c>
    </row>
    <row r="8" spans="1:18" s="6" customFormat="1" ht="12.2" customHeight="1">
      <c r="A8" s="175" t="s">
        <v>46</v>
      </c>
      <c r="B8" s="150"/>
      <c r="C8" s="190"/>
      <c r="D8" s="97"/>
      <c r="E8" s="97"/>
      <c r="F8" s="97"/>
      <c r="G8" s="97"/>
      <c r="H8" s="200"/>
      <c r="I8" s="200"/>
      <c r="J8" s="200"/>
      <c r="K8" s="200"/>
      <c r="L8" s="200"/>
      <c r="M8" s="200"/>
      <c r="N8" s="200"/>
      <c r="O8" s="181"/>
      <c r="P8" s="215" t="s">
        <v>47</v>
      </c>
    </row>
    <row r="9" spans="1:18" s="6" customFormat="1" ht="12.2" customHeight="1">
      <c r="A9" s="175" t="s">
        <v>55</v>
      </c>
      <c r="B9" s="150"/>
      <c r="C9" s="192">
        <v>1950812</v>
      </c>
      <c r="D9" s="75">
        <v>821.2</v>
      </c>
      <c r="E9" s="75">
        <v>864</v>
      </c>
      <c r="F9" s="75">
        <v>1024</v>
      </c>
      <c r="G9" s="75">
        <v>1101.3</v>
      </c>
      <c r="H9" s="75">
        <v>1331.1</v>
      </c>
      <c r="I9" s="75">
        <v>1552</v>
      </c>
      <c r="J9" s="75">
        <v>1692.3</v>
      </c>
      <c r="K9" s="75">
        <v>1868</v>
      </c>
      <c r="L9" s="75">
        <v>2412.1799999999998</v>
      </c>
      <c r="M9" s="75">
        <v>2524</v>
      </c>
      <c r="N9" s="75">
        <v>2877</v>
      </c>
      <c r="O9" s="181"/>
      <c r="P9" s="215" t="s">
        <v>48</v>
      </c>
      <c r="R9" s="17"/>
    </row>
    <row r="10" spans="1:18" s="6" customFormat="1" ht="12.2" customHeight="1">
      <c r="A10" s="175" t="s">
        <v>49</v>
      </c>
      <c r="B10" s="150"/>
      <c r="C10" s="190"/>
      <c r="D10" s="97" t="s">
        <v>61</v>
      </c>
      <c r="E10" s="97" t="s">
        <v>61</v>
      </c>
      <c r="F10" s="97" t="s">
        <v>61</v>
      </c>
      <c r="G10" s="97" t="s">
        <v>61</v>
      </c>
      <c r="H10" s="97" t="s">
        <v>61</v>
      </c>
      <c r="I10" s="97" t="s">
        <v>61</v>
      </c>
      <c r="J10" s="97" t="s">
        <v>61</v>
      </c>
      <c r="K10" s="97" t="s">
        <v>61</v>
      </c>
      <c r="L10" s="97" t="s">
        <v>61</v>
      </c>
      <c r="M10" s="97" t="s">
        <v>61</v>
      </c>
      <c r="N10" s="97" t="s">
        <v>61</v>
      </c>
      <c r="O10" s="181"/>
      <c r="P10" s="215" t="s">
        <v>185</v>
      </c>
      <c r="R10" s="17"/>
    </row>
    <row r="11" spans="1:18" s="6" customFormat="1" ht="15.75" customHeight="1">
      <c r="A11" s="178" t="s">
        <v>50</v>
      </c>
      <c r="B11" s="150"/>
      <c r="C11" s="190">
        <v>31736</v>
      </c>
      <c r="D11" s="159">
        <v>0</v>
      </c>
      <c r="E11" s="159">
        <v>0</v>
      </c>
      <c r="F11" s="159">
        <v>0</v>
      </c>
      <c r="G11" s="159">
        <v>0</v>
      </c>
      <c r="H11" s="97" t="s">
        <v>61</v>
      </c>
      <c r="I11" s="97" t="s">
        <v>61</v>
      </c>
      <c r="J11" s="97" t="s">
        <v>61</v>
      </c>
      <c r="K11" s="97" t="s">
        <v>61</v>
      </c>
      <c r="L11" s="97" t="s">
        <v>61</v>
      </c>
      <c r="M11" s="97" t="s">
        <v>61</v>
      </c>
      <c r="N11" s="97" t="s">
        <v>61</v>
      </c>
      <c r="O11" s="181"/>
      <c r="P11" s="215" t="s">
        <v>186</v>
      </c>
      <c r="R11" s="62"/>
    </row>
    <row r="12" spans="1:18" s="6" customFormat="1" ht="12.2" customHeight="1">
      <c r="A12" s="178" t="s">
        <v>52</v>
      </c>
      <c r="B12" s="150"/>
      <c r="C12" s="190" t="s">
        <v>51</v>
      </c>
      <c r="D12" s="75">
        <v>259.10000000000002</v>
      </c>
      <c r="E12" s="75">
        <v>240.6</v>
      </c>
      <c r="F12" s="75">
        <v>265</v>
      </c>
      <c r="G12" s="75">
        <v>457.2</v>
      </c>
      <c r="H12" s="75">
        <v>487</v>
      </c>
      <c r="I12" s="75">
        <v>508.3</v>
      </c>
      <c r="J12" s="75">
        <v>389.9</v>
      </c>
      <c r="K12" s="75">
        <v>767.4</v>
      </c>
      <c r="L12" s="75">
        <v>440.7</v>
      </c>
      <c r="M12" s="75">
        <v>737</v>
      </c>
      <c r="N12" s="75">
        <v>477</v>
      </c>
      <c r="O12" s="181"/>
      <c r="P12" s="215" t="s">
        <v>184</v>
      </c>
      <c r="R12" s="17"/>
    </row>
    <row r="13" spans="1:18" s="6" customFormat="1" ht="12.2" customHeight="1">
      <c r="A13" s="178" t="s">
        <v>53</v>
      </c>
      <c r="B13" s="150"/>
      <c r="C13" s="190">
        <v>1982548</v>
      </c>
      <c r="D13" s="75">
        <f t="shared" ref="D13:J13" si="0">D9+D12</f>
        <v>1080.3000000000002</v>
      </c>
      <c r="E13" s="75">
        <f t="shared" si="0"/>
        <v>1104.5999999999999</v>
      </c>
      <c r="F13" s="75">
        <f t="shared" si="0"/>
        <v>1289</v>
      </c>
      <c r="G13" s="75">
        <f t="shared" si="0"/>
        <v>1558.5</v>
      </c>
      <c r="H13" s="75">
        <f t="shared" si="0"/>
        <v>1818.1</v>
      </c>
      <c r="I13" s="75">
        <f t="shared" si="0"/>
        <v>2060.3000000000002</v>
      </c>
      <c r="J13" s="75">
        <f t="shared" si="0"/>
        <v>2082.1999999999998</v>
      </c>
      <c r="K13" s="75">
        <f>SUM(K9,K12)</f>
        <v>2635.4</v>
      </c>
      <c r="L13" s="75">
        <v>2852.9</v>
      </c>
      <c r="M13" s="75">
        <v>3261</v>
      </c>
      <c r="N13" s="75">
        <v>3354</v>
      </c>
      <c r="O13" s="181"/>
      <c r="P13" s="215" t="s">
        <v>54</v>
      </c>
      <c r="R13" s="17"/>
    </row>
    <row r="14" spans="1:18" s="6" customFormat="1" ht="20.100000000000001" customHeight="1">
      <c r="A14" s="165" t="s">
        <v>109</v>
      </c>
      <c r="B14" s="188" t="s">
        <v>146</v>
      </c>
      <c r="C14" s="181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 t="s">
        <v>147</v>
      </c>
      <c r="P14" s="189" t="s">
        <v>126</v>
      </c>
    </row>
    <row r="15" spans="1:18" s="6" customFormat="1" ht="12.2" customHeight="1">
      <c r="A15" s="175" t="s">
        <v>46</v>
      </c>
      <c r="B15" s="150"/>
      <c r="C15" s="190"/>
      <c r="D15" s="97"/>
      <c r="E15" s="97"/>
      <c r="F15" s="97"/>
      <c r="G15" s="97"/>
      <c r="H15" s="200"/>
      <c r="I15" s="200"/>
      <c r="J15" s="200"/>
      <c r="K15" s="200"/>
      <c r="L15" s="200"/>
      <c r="M15" s="200"/>
      <c r="N15" s="200"/>
      <c r="O15" s="181"/>
      <c r="P15" s="215" t="s">
        <v>47</v>
      </c>
      <c r="R15" s="17"/>
    </row>
    <row r="16" spans="1:18" s="6" customFormat="1" ht="12.2" customHeight="1">
      <c r="A16" s="175" t="s">
        <v>55</v>
      </c>
      <c r="B16" s="150"/>
      <c r="C16" s="75">
        <f>34150+8610+23723+29273</f>
        <v>95756</v>
      </c>
      <c r="D16" s="75">
        <v>116256</v>
      </c>
      <c r="E16" s="75">
        <f>41546+12613+32780+29706</f>
        <v>116645</v>
      </c>
      <c r="F16" s="75">
        <f>46719+14429+36814+68897</f>
        <v>166859</v>
      </c>
      <c r="G16" s="75">
        <f>52153+17028+47700+58442</f>
        <v>175323</v>
      </c>
      <c r="H16" s="75">
        <f>62839+18470+50528+92371</f>
        <v>224208</v>
      </c>
      <c r="I16" s="75">
        <f>76147+25072+52810+127033</f>
        <v>281062</v>
      </c>
      <c r="J16" s="75">
        <v>288735</v>
      </c>
      <c r="K16" s="75">
        <v>330621</v>
      </c>
      <c r="L16" s="75">
        <v>404278</v>
      </c>
      <c r="M16" s="194">
        <f>M20-M19-M18</f>
        <v>492841.9</v>
      </c>
      <c r="N16" s="194">
        <f>N20-N19-N18</f>
        <v>590449.79999999993</v>
      </c>
      <c r="O16" s="181"/>
      <c r="P16" s="215" t="s">
        <v>48</v>
      </c>
      <c r="R16" s="17"/>
    </row>
    <row r="17" spans="1:19" s="6" customFormat="1" ht="12.2" customHeight="1">
      <c r="A17" s="175" t="s">
        <v>49</v>
      </c>
      <c r="B17" s="150"/>
      <c r="C17" s="75">
        <v>23723</v>
      </c>
      <c r="D17" s="75">
        <v>27513</v>
      </c>
      <c r="E17" s="75">
        <v>32780</v>
      </c>
      <c r="F17" s="75">
        <v>36814</v>
      </c>
      <c r="G17" s="75">
        <v>47700</v>
      </c>
      <c r="H17" s="75">
        <v>50528</v>
      </c>
      <c r="I17" s="75">
        <v>52810</v>
      </c>
      <c r="J17" s="75">
        <v>72333</v>
      </c>
      <c r="K17" s="75">
        <v>85077</v>
      </c>
      <c r="L17" s="75">
        <v>104441</v>
      </c>
      <c r="M17" s="75">
        <v>138612.1</v>
      </c>
      <c r="N17" s="75">
        <v>182046.3</v>
      </c>
      <c r="O17" s="181"/>
      <c r="P17" s="215" t="s">
        <v>185</v>
      </c>
      <c r="R17" s="17"/>
    </row>
    <row r="18" spans="1:19" s="6" customFormat="1" ht="15" customHeight="1">
      <c r="A18" s="178" t="s">
        <v>50</v>
      </c>
      <c r="B18" s="150"/>
      <c r="C18" s="75">
        <v>20276</v>
      </c>
      <c r="D18" s="75">
        <v>18322</v>
      </c>
      <c r="E18" s="75">
        <v>23274</v>
      </c>
      <c r="F18" s="75">
        <v>21212</v>
      </c>
      <c r="G18" s="75">
        <v>25498</v>
      </c>
      <c r="H18" s="75">
        <v>34191</v>
      </c>
      <c r="I18" s="75">
        <v>43430</v>
      </c>
      <c r="J18" s="75">
        <v>48350</v>
      </c>
      <c r="K18" s="75">
        <v>39881</v>
      </c>
      <c r="L18" s="75">
        <v>35918</v>
      </c>
      <c r="M18" s="75">
        <v>56618</v>
      </c>
      <c r="N18" s="75">
        <v>63679.4</v>
      </c>
      <c r="O18" s="181"/>
      <c r="P18" s="215" t="s">
        <v>186</v>
      </c>
      <c r="R18" s="64"/>
      <c r="S18" s="49"/>
    </row>
    <row r="19" spans="1:19" s="6" customFormat="1" ht="12.2" customHeight="1">
      <c r="A19" s="178" t="s">
        <v>52</v>
      </c>
      <c r="B19" s="150"/>
      <c r="C19" s="75">
        <v>18355</v>
      </c>
      <c r="D19" s="75">
        <v>7371</v>
      </c>
      <c r="E19" s="75">
        <v>21692</v>
      </c>
      <c r="F19" s="75">
        <v>19739</v>
      </c>
      <c r="G19" s="75">
        <v>21208</v>
      </c>
      <c r="H19" s="75">
        <v>23892</v>
      </c>
      <c r="I19" s="75">
        <v>27008</v>
      </c>
      <c r="J19" s="75">
        <v>28901</v>
      </c>
      <c r="K19" s="75">
        <v>31364</v>
      </c>
      <c r="L19" s="75">
        <v>30796</v>
      </c>
      <c r="M19" s="75">
        <v>34324.9</v>
      </c>
      <c r="N19" s="75">
        <v>38291.800000000003</v>
      </c>
      <c r="O19" s="181"/>
      <c r="P19" s="215" t="s">
        <v>184</v>
      </c>
      <c r="R19" s="17"/>
    </row>
    <row r="20" spans="1:19" s="6" customFormat="1" ht="12.2" customHeight="1">
      <c r="A20" s="178" t="s">
        <v>53</v>
      </c>
      <c r="B20" s="150"/>
      <c r="C20" s="75">
        <f t="shared" ref="C20:I20" si="1">C16+C18+C19</f>
        <v>134387</v>
      </c>
      <c r="D20" s="75">
        <f t="shared" si="1"/>
        <v>141949</v>
      </c>
      <c r="E20" s="75">
        <f t="shared" si="1"/>
        <v>161611</v>
      </c>
      <c r="F20" s="75">
        <f t="shared" si="1"/>
        <v>207810</v>
      </c>
      <c r="G20" s="75">
        <f t="shared" si="1"/>
        <v>222029</v>
      </c>
      <c r="H20" s="75">
        <f t="shared" si="1"/>
        <v>282291</v>
      </c>
      <c r="I20" s="75">
        <f t="shared" si="1"/>
        <v>351500</v>
      </c>
      <c r="J20" s="75">
        <f>J16+J18+J19</f>
        <v>365986</v>
      </c>
      <c r="K20" s="75">
        <f>K16+K18+K19</f>
        <v>401866</v>
      </c>
      <c r="L20" s="75">
        <v>470992</v>
      </c>
      <c r="M20" s="75">
        <v>583784.80000000005</v>
      </c>
      <c r="N20" s="75">
        <v>692421</v>
      </c>
      <c r="O20" s="181"/>
      <c r="P20" s="215" t="s">
        <v>54</v>
      </c>
    </row>
    <row r="21" spans="1:19" s="6" customFormat="1" ht="20.100000000000001" customHeight="1">
      <c r="A21" s="165" t="s">
        <v>9</v>
      </c>
      <c r="B21" s="188" t="s">
        <v>144</v>
      </c>
      <c r="C21" s="181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 t="s">
        <v>145</v>
      </c>
      <c r="P21" s="189" t="s">
        <v>16</v>
      </c>
    </row>
    <row r="22" spans="1:19" s="6" customFormat="1" ht="12.2" customHeight="1">
      <c r="A22" s="175" t="s">
        <v>46</v>
      </c>
      <c r="B22" s="150"/>
      <c r="C22" s="190"/>
      <c r="D22" s="97"/>
      <c r="E22" s="97"/>
      <c r="F22" s="97"/>
      <c r="G22" s="97"/>
      <c r="H22" s="200"/>
      <c r="I22" s="200"/>
      <c r="J22" s="200"/>
      <c r="K22" s="200"/>
      <c r="L22" s="200"/>
      <c r="M22" s="200"/>
      <c r="N22" s="200"/>
      <c r="O22" s="181"/>
      <c r="P22" s="215" t="s">
        <v>47</v>
      </c>
      <c r="R22" s="17"/>
    </row>
    <row r="23" spans="1:19" s="6" customFormat="1" ht="12.2" customHeight="1">
      <c r="A23" s="175" t="s">
        <v>55</v>
      </c>
      <c r="B23" s="150"/>
      <c r="C23" s="192">
        <v>1950812</v>
      </c>
      <c r="D23" s="97" t="s">
        <v>61</v>
      </c>
      <c r="E23" s="75">
        <v>31087071</v>
      </c>
      <c r="F23" s="75">
        <v>25932029</v>
      </c>
      <c r="G23" s="75">
        <v>37655401</v>
      </c>
      <c r="H23" s="75" t="s">
        <v>61</v>
      </c>
      <c r="I23" s="75" t="s">
        <v>61</v>
      </c>
      <c r="J23" s="75" t="s">
        <v>61</v>
      </c>
      <c r="K23" s="75">
        <v>60981000</v>
      </c>
      <c r="L23" s="75">
        <v>60926000</v>
      </c>
      <c r="M23" s="75">
        <v>69619000</v>
      </c>
      <c r="N23" s="75" t="s">
        <v>61</v>
      </c>
      <c r="O23" s="181"/>
      <c r="P23" s="215" t="s">
        <v>48</v>
      </c>
      <c r="R23" s="17"/>
    </row>
    <row r="24" spans="1:19" s="6" customFormat="1" ht="12.2" customHeight="1">
      <c r="A24" s="175" t="s">
        <v>49</v>
      </c>
      <c r="B24" s="150"/>
      <c r="C24" s="190"/>
      <c r="D24" s="97" t="s">
        <v>61</v>
      </c>
      <c r="E24" s="75" t="s">
        <v>61</v>
      </c>
      <c r="F24" s="75" t="s">
        <v>61</v>
      </c>
      <c r="G24" s="75" t="s">
        <v>61</v>
      </c>
      <c r="H24" s="75" t="s">
        <v>61</v>
      </c>
      <c r="I24" s="75" t="s">
        <v>61</v>
      </c>
      <c r="J24" s="75" t="s">
        <v>61</v>
      </c>
      <c r="K24" s="75" t="s">
        <v>61</v>
      </c>
      <c r="L24" s="75" t="s">
        <v>61</v>
      </c>
      <c r="M24" s="75" t="s">
        <v>61</v>
      </c>
      <c r="N24" s="75" t="s">
        <v>61</v>
      </c>
      <c r="O24" s="181"/>
      <c r="P24" s="215" t="s">
        <v>185</v>
      </c>
      <c r="R24" s="51"/>
    </row>
    <row r="25" spans="1:19" s="6" customFormat="1" ht="12.2" customHeight="1">
      <c r="A25" s="178" t="s">
        <v>50</v>
      </c>
      <c r="B25" s="150"/>
      <c r="C25" s="190">
        <v>31736</v>
      </c>
      <c r="D25" s="97" t="s">
        <v>61</v>
      </c>
      <c r="E25" s="75">
        <v>1030420</v>
      </c>
      <c r="F25" s="75">
        <v>443146</v>
      </c>
      <c r="G25" s="75">
        <v>421394</v>
      </c>
      <c r="H25" s="75" t="s">
        <v>61</v>
      </c>
      <c r="I25" s="75" t="s">
        <v>61</v>
      </c>
      <c r="J25" s="75" t="s">
        <v>61</v>
      </c>
      <c r="K25" s="75">
        <v>23678000</v>
      </c>
      <c r="L25" s="75">
        <v>17832000</v>
      </c>
      <c r="M25" s="75">
        <v>20756000</v>
      </c>
      <c r="N25" s="75" t="s">
        <v>61</v>
      </c>
      <c r="O25" s="181"/>
      <c r="P25" s="215" t="s">
        <v>186</v>
      </c>
      <c r="R25" s="17"/>
    </row>
    <row r="26" spans="1:19" s="6" customFormat="1" ht="12.2" customHeight="1">
      <c r="A26" s="178" t="s">
        <v>52</v>
      </c>
      <c r="B26" s="150"/>
      <c r="C26" s="190" t="s">
        <v>51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 t="s">
        <v>61</v>
      </c>
      <c r="O26" s="75"/>
      <c r="P26" s="215" t="s">
        <v>184</v>
      </c>
      <c r="Q26" s="40"/>
      <c r="R26" s="17"/>
    </row>
    <row r="27" spans="1:19" s="6" customFormat="1" ht="12.2" customHeight="1">
      <c r="A27" s="178" t="s">
        <v>53</v>
      </c>
      <c r="B27" s="150"/>
      <c r="C27" s="190">
        <v>1982548</v>
      </c>
      <c r="D27" s="97" t="s">
        <v>61</v>
      </c>
      <c r="E27" s="75">
        <f>E23+E25+E26</f>
        <v>32117491</v>
      </c>
      <c r="F27" s="75">
        <f>F23+F25+F26</f>
        <v>26375175</v>
      </c>
      <c r="G27" s="75">
        <f>G23+G25+G26</f>
        <v>38076795</v>
      </c>
      <c r="H27" s="75">
        <v>33545144</v>
      </c>
      <c r="I27" s="75">
        <v>59403375</v>
      </c>
      <c r="J27" s="75">
        <v>52567025</v>
      </c>
      <c r="K27" s="75">
        <v>84659000</v>
      </c>
      <c r="L27" s="75">
        <v>78758000</v>
      </c>
      <c r="M27" s="75">
        <v>90375000</v>
      </c>
      <c r="N27" s="75">
        <v>106873027</v>
      </c>
      <c r="O27" s="181"/>
      <c r="P27" s="215" t="s">
        <v>54</v>
      </c>
      <c r="R27" s="17"/>
    </row>
    <row r="28" spans="1:19" s="6" customFormat="1" ht="20.100000000000001" customHeight="1">
      <c r="A28" s="165" t="s">
        <v>10</v>
      </c>
      <c r="B28" s="188" t="s">
        <v>144</v>
      </c>
      <c r="C28" s="181"/>
      <c r="D28" s="173"/>
      <c r="E28" s="173"/>
      <c r="F28" s="173"/>
      <c r="G28" s="173"/>
      <c r="H28" s="173"/>
      <c r="I28" s="173"/>
      <c r="J28" s="173"/>
      <c r="K28" s="172"/>
      <c r="L28" s="173"/>
      <c r="M28" s="173"/>
      <c r="N28" s="173"/>
      <c r="O28" s="173" t="s">
        <v>145</v>
      </c>
      <c r="P28" s="189" t="s">
        <v>286</v>
      </c>
    </row>
    <row r="29" spans="1:19" s="6" customFormat="1" ht="12.2" customHeight="1">
      <c r="A29" s="175" t="s">
        <v>46</v>
      </c>
      <c r="B29" s="150"/>
      <c r="C29" s="190"/>
      <c r="D29" s="97"/>
      <c r="E29" s="97"/>
      <c r="F29" s="97"/>
      <c r="G29" s="97"/>
      <c r="H29" s="200"/>
      <c r="I29" s="200"/>
      <c r="J29" s="200"/>
      <c r="K29" s="200"/>
      <c r="L29" s="200"/>
      <c r="M29" s="200"/>
      <c r="N29" s="200"/>
      <c r="O29" s="181"/>
      <c r="P29" s="215" t="s">
        <v>47</v>
      </c>
      <c r="R29" s="17"/>
    </row>
    <row r="30" spans="1:19" s="6" customFormat="1" ht="12.2" customHeight="1">
      <c r="A30" s="175" t="s">
        <v>55</v>
      </c>
      <c r="B30" s="150"/>
      <c r="C30" s="192">
        <v>1950812</v>
      </c>
      <c r="D30" s="75">
        <v>2163.6999999999998</v>
      </c>
      <c r="E30" s="75">
        <v>2377.8000000000002</v>
      </c>
      <c r="F30" s="75">
        <v>2908</v>
      </c>
      <c r="G30" s="75">
        <v>3118.1</v>
      </c>
      <c r="H30" s="75">
        <v>3743.9</v>
      </c>
      <c r="I30" s="75">
        <v>4473.3999999999996</v>
      </c>
      <c r="J30" s="75">
        <v>4586</v>
      </c>
      <c r="K30" s="75">
        <v>4746.6000000000004</v>
      </c>
      <c r="L30" s="75">
        <v>5739</v>
      </c>
      <c r="M30" s="75">
        <v>6202.8</v>
      </c>
      <c r="N30" s="75">
        <v>6210.1</v>
      </c>
      <c r="O30" s="181"/>
      <c r="P30" s="215" t="s">
        <v>48</v>
      </c>
      <c r="R30" s="17"/>
    </row>
    <row r="31" spans="1:19" s="6" customFormat="1" ht="12.2" customHeight="1">
      <c r="A31" s="175" t="s">
        <v>49</v>
      </c>
      <c r="B31" s="150"/>
      <c r="C31" s="190"/>
      <c r="D31" s="97" t="s">
        <v>61</v>
      </c>
      <c r="E31" s="97" t="s">
        <v>61</v>
      </c>
      <c r="F31" s="97" t="s">
        <v>61</v>
      </c>
      <c r="G31" s="97" t="s">
        <v>61</v>
      </c>
      <c r="H31" s="97" t="s">
        <v>61</v>
      </c>
      <c r="I31" s="75">
        <v>352.4</v>
      </c>
      <c r="J31" s="75">
        <v>392.2</v>
      </c>
      <c r="K31" s="75">
        <v>397.5</v>
      </c>
      <c r="L31" s="75">
        <v>429</v>
      </c>
      <c r="M31" s="75">
        <v>582.9</v>
      </c>
      <c r="N31" s="75">
        <v>800</v>
      </c>
      <c r="O31" s="181"/>
      <c r="P31" s="215" t="s">
        <v>185</v>
      </c>
      <c r="R31" s="17"/>
    </row>
    <row r="32" spans="1:19" s="6" customFormat="1" ht="13.5" customHeight="1">
      <c r="A32" s="178" t="s">
        <v>50</v>
      </c>
      <c r="B32" s="150"/>
      <c r="C32" s="190">
        <v>31736</v>
      </c>
      <c r="D32" s="75">
        <v>646.1</v>
      </c>
      <c r="E32" s="75">
        <v>802.7</v>
      </c>
      <c r="F32" s="75">
        <v>630.9</v>
      </c>
      <c r="G32" s="75">
        <v>794.1</v>
      </c>
      <c r="H32" s="75">
        <v>842.6</v>
      </c>
      <c r="I32" s="75">
        <v>958.5</v>
      </c>
      <c r="J32" s="75">
        <v>1444.5</v>
      </c>
      <c r="K32" s="75">
        <v>961.4</v>
      </c>
      <c r="L32" s="75">
        <v>1057</v>
      </c>
      <c r="M32" s="75">
        <v>675.4</v>
      </c>
      <c r="N32" s="75">
        <v>1245.5999999999999</v>
      </c>
      <c r="O32" s="181"/>
      <c r="P32" s="215" t="s">
        <v>186</v>
      </c>
      <c r="R32" s="86"/>
    </row>
    <row r="33" spans="1:18" s="6" customFormat="1" ht="12.2" customHeight="1">
      <c r="A33" s="178" t="s">
        <v>52</v>
      </c>
      <c r="B33" s="150"/>
      <c r="C33" s="190" t="s">
        <v>51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1</v>
      </c>
      <c r="M33" s="159">
        <v>1</v>
      </c>
      <c r="N33" s="159" t="s">
        <v>141</v>
      </c>
      <c r="O33" s="181"/>
      <c r="P33" s="215" t="s">
        <v>184</v>
      </c>
      <c r="R33" s="17"/>
    </row>
    <row r="34" spans="1:18" s="6" customFormat="1" ht="12.2" customHeight="1">
      <c r="A34" s="178" t="s">
        <v>53</v>
      </c>
      <c r="B34" s="150"/>
      <c r="C34" s="190">
        <v>1982548</v>
      </c>
      <c r="D34" s="75">
        <f t="shared" ref="D34:J34" si="2">D30+D32+D33</f>
        <v>2809.7999999999997</v>
      </c>
      <c r="E34" s="75">
        <f t="shared" si="2"/>
        <v>3180.5</v>
      </c>
      <c r="F34" s="75">
        <f t="shared" si="2"/>
        <v>3538.9</v>
      </c>
      <c r="G34" s="75">
        <f t="shared" si="2"/>
        <v>3912.2</v>
      </c>
      <c r="H34" s="75">
        <f t="shared" si="2"/>
        <v>4586.5</v>
      </c>
      <c r="I34" s="75">
        <f t="shared" si="2"/>
        <v>5431.9</v>
      </c>
      <c r="J34" s="75">
        <f t="shared" si="2"/>
        <v>6030.5</v>
      </c>
      <c r="K34" s="75">
        <f>K30+K32</f>
        <v>5708</v>
      </c>
      <c r="L34" s="75">
        <f>L30+L32</f>
        <v>6796</v>
      </c>
      <c r="M34" s="75">
        <f>M30+M32</f>
        <v>6878.2</v>
      </c>
      <c r="N34" s="75">
        <v>7455.7</v>
      </c>
      <c r="O34" s="181"/>
      <c r="P34" s="215" t="s">
        <v>54</v>
      </c>
      <c r="R34" s="17"/>
    </row>
    <row r="35" spans="1:18" s="6" customFormat="1" ht="20.100000000000001" customHeight="1">
      <c r="A35" s="165" t="s">
        <v>287</v>
      </c>
      <c r="B35" s="188" t="s">
        <v>144</v>
      </c>
      <c r="C35" s="181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 t="s">
        <v>145</v>
      </c>
      <c r="P35" s="189" t="s">
        <v>297</v>
      </c>
    </row>
    <row r="36" spans="1:18" s="6" customFormat="1" ht="12.2" customHeight="1">
      <c r="A36" s="175" t="s">
        <v>46</v>
      </c>
      <c r="B36" s="150"/>
      <c r="C36" s="190"/>
      <c r="D36" s="97"/>
      <c r="E36" s="97"/>
      <c r="F36" s="97"/>
      <c r="G36" s="97"/>
      <c r="H36" s="200"/>
      <c r="I36" s="200"/>
      <c r="J36" s="200"/>
      <c r="K36" s="200"/>
      <c r="L36" s="200"/>
      <c r="M36" s="200"/>
      <c r="N36" s="200"/>
      <c r="O36" s="181"/>
      <c r="P36" s="215" t="s">
        <v>47</v>
      </c>
      <c r="R36" s="17"/>
    </row>
    <row r="37" spans="1:18" s="6" customFormat="1" ht="12.2" customHeight="1">
      <c r="A37" s="175" t="s">
        <v>55</v>
      </c>
      <c r="B37" s="150"/>
      <c r="C37" s="75">
        <v>4024.75</v>
      </c>
      <c r="D37" s="75">
        <v>4605.38</v>
      </c>
      <c r="E37" s="75">
        <v>5008.0600000000004</v>
      </c>
      <c r="F37" s="75">
        <v>4005.8999999999996</v>
      </c>
      <c r="G37" s="75">
        <v>5587.4</v>
      </c>
      <c r="H37" s="75">
        <v>7479</v>
      </c>
      <c r="I37" s="75">
        <v>10052</v>
      </c>
      <c r="J37" s="75">
        <v>8811</v>
      </c>
      <c r="K37" s="75">
        <v>11969</v>
      </c>
      <c r="L37" s="75">
        <v>11776</v>
      </c>
      <c r="M37" s="75">
        <v>13941.6</v>
      </c>
      <c r="N37" s="97" t="s">
        <v>61</v>
      </c>
      <c r="O37" s="181"/>
      <c r="P37" s="215" t="s">
        <v>48</v>
      </c>
      <c r="R37" s="17"/>
    </row>
    <row r="38" spans="1:18" s="6" customFormat="1" ht="12.2" customHeight="1">
      <c r="A38" s="175" t="s">
        <v>49</v>
      </c>
      <c r="B38" s="150"/>
      <c r="C38" s="97" t="s">
        <v>61</v>
      </c>
      <c r="D38" s="97" t="s">
        <v>61</v>
      </c>
      <c r="E38" s="97" t="s">
        <v>61</v>
      </c>
      <c r="F38" s="97" t="s">
        <v>61</v>
      </c>
      <c r="G38" s="97" t="s">
        <v>61</v>
      </c>
      <c r="H38" s="159">
        <v>0</v>
      </c>
      <c r="I38" s="159">
        <v>0</v>
      </c>
      <c r="J38" s="159">
        <v>0</v>
      </c>
      <c r="K38" s="159">
        <v>1</v>
      </c>
      <c r="L38" s="159">
        <v>1</v>
      </c>
      <c r="M38" s="159">
        <v>1</v>
      </c>
      <c r="N38" s="159">
        <v>1</v>
      </c>
      <c r="O38" s="181"/>
      <c r="P38" s="215" t="s">
        <v>185</v>
      </c>
      <c r="R38" s="17"/>
    </row>
    <row r="39" spans="1:18" s="6" customFormat="1" ht="13.5" customHeight="1">
      <c r="A39" s="178" t="s">
        <v>50</v>
      </c>
      <c r="B39" s="150"/>
      <c r="C39" s="75">
        <v>673.91</v>
      </c>
      <c r="D39" s="75">
        <v>726.26</v>
      </c>
      <c r="E39" s="75">
        <v>805.31</v>
      </c>
      <c r="F39" s="75">
        <v>38.299999999999997</v>
      </c>
      <c r="G39" s="183">
        <v>45.2</v>
      </c>
      <c r="H39" s="75">
        <v>1200</v>
      </c>
      <c r="I39" s="75">
        <v>1523</v>
      </c>
      <c r="J39" s="75">
        <v>1493</v>
      </c>
      <c r="K39" s="75">
        <v>2234</v>
      </c>
      <c r="L39" s="75">
        <v>2299</v>
      </c>
      <c r="M39" s="75">
        <v>2229</v>
      </c>
      <c r="N39" s="97" t="s">
        <v>61</v>
      </c>
      <c r="O39" s="181"/>
      <c r="P39" s="215" t="s">
        <v>186</v>
      </c>
      <c r="R39" s="51"/>
    </row>
    <row r="40" spans="1:18" s="6" customFormat="1" ht="12.2" customHeight="1">
      <c r="A40" s="178" t="s">
        <v>52</v>
      </c>
      <c r="B40" s="150"/>
      <c r="C40" s="75">
        <v>48</v>
      </c>
      <c r="D40" s="75">
        <v>122.25</v>
      </c>
      <c r="E40" s="75">
        <v>173.18</v>
      </c>
      <c r="F40" s="75">
        <v>2765.2</v>
      </c>
      <c r="G40" s="75">
        <v>2616.1</v>
      </c>
      <c r="H40" s="75">
        <v>268</v>
      </c>
      <c r="I40" s="75">
        <v>179</v>
      </c>
      <c r="J40" s="75">
        <v>10</v>
      </c>
      <c r="K40" s="75">
        <v>4</v>
      </c>
      <c r="L40" s="75">
        <v>21</v>
      </c>
      <c r="M40" s="75">
        <v>135.38999999999999</v>
      </c>
      <c r="N40" s="97" t="s">
        <v>61</v>
      </c>
      <c r="O40" s="181"/>
      <c r="P40" s="215" t="s">
        <v>184</v>
      </c>
      <c r="R40" s="17"/>
    </row>
    <row r="41" spans="1:18" s="6" customFormat="1" ht="12.2" customHeight="1">
      <c r="A41" s="178" t="s">
        <v>53</v>
      </c>
      <c r="B41" s="150"/>
      <c r="C41" s="75">
        <f t="shared" ref="C41:L41" si="3">C37+C39+C40</f>
        <v>4746.66</v>
      </c>
      <c r="D41" s="75">
        <f t="shared" si="3"/>
        <v>5453.89</v>
      </c>
      <c r="E41" s="75">
        <f t="shared" si="3"/>
        <v>5986.5500000000011</v>
      </c>
      <c r="F41" s="75">
        <f t="shared" si="3"/>
        <v>6809.4</v>
      </c>
      <c r="G41" s="75">
        <f t="shared" si="3"/>
        <v>8248.6999999999989</v>
      </c>
      <c r="H41" s="75">
        <f t="shared" si="3"/>
        <v>8947</v>
      </c>
      <c r="I41" s="75">
        <f t="shared" si="3"/>
        <v>11754</v>
      </c>
      <c r="J41" s="75">
        <f t="shared" si="3"/>
        <v>10314</v>
      </c>
      <c r="K41" s="75">
        <f t="shared" si="3"/>
        <v>14207</v>
      </c>
      <c r="L41" s="75">
        <f t="shared" si="3"/>
        <v>14096</v>
      </c>
      <c r="M41" s="75">
        <v>16306</v>
      </c>
      <c r="N41" s="97" t="s">
        <v>61</v>
      </c>
      <c r="O41" s="181"/>
      <c r="P41" s="215" t="s">
        <v>54</v>
      </c>
    </row>
    <row r="42" spans="1:18" s="6" customFormat="1" ht="20.100000000000001" customHeight="1">
      <c r="A42" s="165" t="s">
        <v>6</v>
      </c>
      <c r="B42" s="188" t="s">
        <v>159</v>
      </c>
      <c r="C42" s="181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 t="s">
        <v>150</v>
      </c>
      <c r="P42" s="189" t="s">
        <v>7</v>
      </c>
    </row>
    <row r="43" spans="1:18" s="6" customFormat="1" ht="12.2" customHeight="1">
      <c r="A43" s="175" t="s">
        <v>46</v>
      </c>
      <c r="B43" s="150"/>
      <c r="C43" s="190"/>
      <c r="D43" s="97"/>
      <c r="E43" s="97"/>
      <c r="F43" s="97"/>
      <c r="G43" s="97"/>
      <c r="H43" s="200"/>
      <c r="I43" s="200"/>
      <c r="J43" s="200"/>
      <c r="K43" s="200"/>
      <c r="L43" s="200"/>
      <c r="M43" s="200"/>
      <c r="N43" s="200"/>
      <c r="O43" s="181"/>
      <c r="P43" s="215" t="s">
        <v>47</v>
      </c>
      <c r="R43" s="17"/>
    </row>
    <row r="44" spans="1:18" s="6" customFormat="1" ht="12.2" customHeight="1">
      <c r="A44" s="175" t="s">
        <v>55</v>
      </c>
      <c r="B44" s="150"/>
      <c r="C44" s="192">
        <v>1950812</v>
      </c>
      <c r="D44" s="75">
        <v>10354</v>
      </c>
      <c r="E44" s="75">
        <v>9665</v>
      </c>
      <c r="F44" s="75">
        <v>9332</v>
      </c>
      <c r="G44" s="75">
        <v>8931</v>
      </c>
      <c r="H44" s="75">
        <v>9661</v>
      </c>
      <c r="I44" s="75">
        <v>10639</v>
      </c>
      <c r="J44" s="75">
        <v>12617</v>
      </c>
      <c r="K44" s="75">
        <v>12937</v>
      </c>
      <c r="L44" s="75">
        <v>15864</v>
      </c>
      <c r="M44" s="75">
        <v>17753</v>
      </c>
      <c r="N44" s="75">
        <v>17966</v>
      </c>
      <c r="O44" s="181"/>
      <c r="P44" s="215" t="s">
        <v>48</v>
      </c>
      <c r="R44" s="17"/>
    </row>
    <row r="45" spans="1:18" s="6" customFormat="1" ht="12.2" customHeight="1">
      <c r="A45" s="175" t="s">
        <v>49</v>
      </c>
      <c r="B45" s="150"/>
      <c r="C45" s="190"/>
      <c r="D45" s="75">
        <v>4253</v>
      </c>
      <c r="E45" s="75">
        <v>3722</v>
      </c>
      <c r="F45" s="75">
        <v>3216</v>
      </c>
      <c r="G45" s="75">
        <v>4338</v>
      </c>
      <c r="H45" s="75">
        <v>4940</v>
      </c>
      <c r="I45" s="75">
        <v>4957</v>
      </c>
      <c r="J45" s="75">
        <v>5784</v>
      </c>
      <c r="K45" s="75">
        <v>5893</v>
      </c>
      <c r="L45" s="75">
        <v>5655</v>
      </c>
      <c r="M45" s="75">
        <v>5457</v>
      </c>
      <c r="N45" s="75">
        <v>5714</v>
      </c>
      <c r="O45" s="181"/>
      <c r="P45" s="215" t="s">
        <v>185</v>
      </c>
      <c r="R45" s="17"/>
    </row>
    <row r="46" spans="1:18" s="6" customFormat="1" ht="15" customHeight="1">
      <c r="A46" s="178" t="s">
        <v>50</v>
      </c>
      <c r="B46" s="150"/>
      <c r="C46" s="190">
        <v>31736</v>
      </c>
      <c r="D46" s="75">
        <v>895</v>
      </c>
      <c r="E46" s="75">
        <v>1001</v>
      </c>
      <c r="F46" s="75">
        <v>966</v>
      </c>
      <c r="G46" s="75">
        <v>551</v>
      </c>
      <c r="H46" s="75">
        <v>558</v>
      </c>
      <c r="I46" s="75">
        <v>514</v>
      </c>
      <c r="J46" s="75">
        <v>550</v>
      </c>
      <c r="K46" s="75">
        <v>691</v>
      </c>
      <c r="L46" s="75">
        <v>676</v>
      </c>
      <c r="M46" s="75">
        <v>760</v>
      </c>
      <c r="N46" s="75">
        <v>987</v>
      </c>
      <c r="O46" s="181"/>
      <c r="P46" s="215" t="s">
        <v>186</v>
      </c>
      <c r="R46" s="51"/>
    </row>
    <row r="47" spans="1:18" s="6" customFormat="1" ht="12.2" customHeight="1">
      <c r="A47" s="178" t="s">
        <v>52</v>
      </c>
      <c r="B47" s="150"/>
      <c r="C47" s="190" t="s">
        <v>51</v>
      </c>
      <c r="D47" s="159">
        <v>0</v>
      </c>
      <c r="E47" s="159">
        <v>0</v>
      </c>
      <c r="F47" s="159">
        <v>0</v>
      </c>
      <c r="G47" s="75">
        <v>2401</v>
      </c>
      <c r="H47" s="75">
        <v>2367</v>
      </c>
      <c r="I47" s="75">
        <v>3804</v>
      </c>
      <c r="J47" s="75">
        <v>4000</v>
      </c>
      <c r="K47" s="75">
        <v>3419</v>
      </c>
      <c r="L47" s="75">
        <v>1061</v>
      </c>
      <c r="M47" s="75">
        <v>1568</v>
      </c>
      <c r="N47" s="75">
        <f>N48-(N46+N44)</f>
        <v>1610</v>
      </c>
      <c r="O47" s="181"/>
      <c r="P47" s="215" t="s">
        <v>184</v>
      </c>
      <c r="R47" s="17"/>
    </row>
    <row r="48" spans="1:18" s="6" customFormat="1" ht="12.2" customHeight="1">
      <c r="A48" s="178" t="s">
        <v>53</v>
      </c>
      <c r="B48" s="150"/>
      <c r="C48" s="190">
        <v>1982548</v>
      </c>
      <c r="D48" s="75">
        <f t="shared" ref="D48:J48" si="4">D44+D46+D47</f>
        <v>11249</v>
      </c>
      <c r="E48" s="75">
        <f t="shared" si="4"/>
        <v>10666</v>
      </c>
      <c r="F48" s="75">
        <f t="shared" si="4"/>
        <v>10298</v>
      </c>
      <c r="G48" s="75">
        <f t="shared" si="4"/>
        <v>11883</v>
      </c>
      <c r="H48" s="75">
        <f t="shared" si="4"/>
        <v>12586</v>
      </c>
      <c r="I48" s="75">
        <f t="shared" si="4"/>
        <v>14957</v>
      </c>
      <c r="J48" s="75">
        <f t="shared" si="4"/>
        <v>17167</v>
      </c>
      <c r="K48" s="75">
        <f>K44+K46+K47</f>
        <v>17047</v>
      </c>
      <c r="L48" s="75">
        <f t="shared" ref="L48:M48" si="5">L44+L46+L47</f>
        <v>17601</v>
      </c>
      <c r="M48" s="75">
        <f t="shared" si="5"/>
        <v>20081</v>
      </c>
      <c r="N48" s="75">
        <v>20563</v>
      </c>
      <c r="O48" s="181"/>
      <c r="P48" s="215" t="s">
        <v>54</v>
      </c>
      <c r="R48" s="17"/>
    </row>
    <row r="49" spans="1:18" s="6" customFormat="1" ht="24" customHeight="1">
      <c r="A49" s="165" t="s">
        <v>206</v>
      </c>
      <c r="B49" s="188" t="s">
        <v>144</v>
      </c>
      <c r="C49" s="171"/>
      <c r="D49" s="75"/>
      <c r="E49" s="75"/>
      <c r="F49" s="75"/>
      <c r="G49" s="75"/>
      <c r="H49" s="172" t="s">
        <v>207</v>
      </c>
      <c r="I49" s="75"/>
      <c r="J49" s="75"/>
      <c r="K49" s="75"/>
      <c r="L49" s="75"/>
      <c r="M49" s="173"/>
      <c r="N49" s="173"/>
      <c r="O49" s="173" t="s">
        <v>145</v>
      </c>
      <c r="P49" s="174" t="s">
        <v>208</v>
      </c>
      <c r="R49" s="17"/>
    </row>
    <row r="50" spans="1:18" s="6" customFormat="1" ht="12.2" customHeight="1">
      <c r="A50" s="175" t="s">
        <v>46</v>
      </c>
      <c r="B50" s="150"/>
      <c r="C50" s="190"/>
      <c r="D50" s="97"/>
      <c r="E50" s="97"/>
      <c r="F50" s="97"/>
      <c r="G50" s="97"/>
      <c r="H50" s="200"/>
      <c r="I50" s="200"/>
      <c r="J50" s="200"/>
      <c r="K50" s="200"/>
      <c r="L50" s="200"/>
      <c r="M50" s="181"/>
      <c r="N50" s="181"/>
      <c r="O50" s="181"/>
      <c r="P50" s="215" t="s">
        <v>47</v>
      </c>
      <c r="R50" s="17"/>
    </row>
    <row r="51" spans="1:18" s="6" customFormat="1" ht="12.2" customHeight="1">
      <c r="A51" s="175" t="s">
        <v>55</v>
      </c>
      <c r="B51" s="150"/>
      <c r="C51" s="192">
        <v>1950812</v>
      </c>
      <c r="D51" s="75">
        <v>10354</v>
      </c>
      <c r="E51" s="75">
        <v>9665</v>
      </c>
      <c r="F51" s="75">
        <v>9332</v>
      </c>
      <c r="G51" s="75">
        <v>8931</v>
      </c>
      <c r="H51" s="75"/>
      <c r="I51" s="75" t="s">
        <v>61</v>
      </c>
      <c r="J51" s="75" t="s">
        <v>61</v>
      </c>
      <c r="K51" s="75" t="s">
        <v>61</v>
      </c>
      <c r="L51" s="75" t="s">
        <v>61</v>
      </c>
      <c r="M51" s="75" t="s">
        <v>61</v>
      </c>
      <c r="N51" s="75" t="s">
        <v>61</v>
      </c>
      <c r="O51" s="181"/>
      <c r="P51" s="215" t="s">
        <v>48</v>
      </c>
      <c r="R51" s="17"/>
    </row>
    <row r="52" spans="1:18" s="6" customFormat="1" ht="12.2" customHeight="1">
      <c r="A52" s="175" t="s">
        <v>49</v>
      </c>
      <c r="B52" s="150"/>
      <c r="C52" s="190"/>
      <c r="D52" s="75">
        <v>4253</v>
      </c>
      <c r="E52" s="75">
        <v>3722</v>
      </c>
      <c r="F52" s="75">
        <v>3216</v>
      </c>
      <c r="G52" s="75">
        <v>4338</v>
      </c>
      <c r="H52" s="75"/>
      <c r="I52" s="75" t="s">
        <v>61</v>
      </c>
      <c r="J52" s="75" t="s">
        <v>61</v>
      </c>
      <c r="K52" s="75" t="s">
        <v>61</v>
      </c>
      <c r="L52" s="75" t="s">
        <v>61</v>
      </c>
      <c r="M52" s="75" t="s">
        <v>61</v>
      </c>
      <c r="N52" s="75" t="s">
        <v>61</v>
      </c>
      <c r="O52" s="181"/>
      <c r="P52" s="215" t="s">
        <v>185</v>
      </c>
      <c r="R52" s="17"/>
    </row>
    <row r="53" spans="1:18" s="6" customFormat="1" ht="12.2" customHeight="1">
      <c r="A53" s="178" t="s">
        <v>216</v>
      </c>
      <c r="B53" s="150"/>
      <c r="C53" s="190">
        <v>31736</v>
      </c>
      <c r="D53" s="75">
        <v>895</v>
      </c>
      <c r="E53" s="75">
        <v>1001</v>
      </c>
      <c r="F53" s="75">
        <v>966</v>
      </c>
      <c r="G53" s="75">
        <v>551</v>
      </c>
      <c r="H53" s="75"/>
      <c r="I53" s="75" t="s">
        <v>61</v>
      </c>
      <c r="J53" s="75" t="s">
        <v>61</v>
      </c>
      <c r="K53" s="75" t="s">
        <v>61</v>
      </c>
      <c r="L53" s="75" t="s">
        <v>61</v>
      </c>
      <c r="M53" s="75" t="s">
        <v>61</v>
      </c>
      <c r="N53" s="75" t="s">
        <v>61</v>
      </c>
      <c r="O53" s="181"/>
      <c r="P53" s="215" t="s">
        <v>217</v>
      </c>
      <c r="R53" s="17"/>
    </row>
    <row r="54" spans="1:18" s="6" customFormat="1" ht="12.2" customHeight="1">
      <c r="A54" s="178" t="s">
        <v>52</v>
      </c>
      <c r="B54" s="150"/>
      <c r="C54" s="190" t="s">
        <v>51</v>
      </c>
      <c r="D54" s="159">
        <v>0</v>
      </c>
      <c r="E54" s="159">
        <v>0</v>
      </c>
      <c r="F54" s="159">
        <v>0</v>
      </c>
      <c r="G54" s="75">
        <v>2401</v>
      </c>
      <c r="H54" s="75"/>
      <c r="I54" s="75" t="s">
        <v>61</v>
      </c>
      <c r="J54" s="75" t="s">
        <v>61</v>
      </c>
      <c r="K54" s="75" t="s">
        <v>61</v>
      </c>
      <c r="L54" s="75" t="s">
        <v>61</v>
      </c>
      <c r="M54" s="75" t="s">
        <v>61</v>
      </c>
      <c r="N54" s="75" t="s">
        <v>61</v>
      </c>
      <c r="O54" s="181"/>
      <c r="P54" s="215" t="s">
        <v>184</v>
      </c>
      <c r="R54" s="17"/>
    </row>
    <row r="55" spans="1:18" s="6" customFormat="1" ht="12.2" customHeight="1">
      <c r="A55" s="178" t="s">
        <v>53</v>
      </c>
      <c r="B55" s="150"/>
      <c r="C55" s="190">
        <v>1982548</v>
      </c>
      <c r="D55" s="75">
        <f t="shared" ref="D55:G55" si="6">D51+D53+D54</f>
        <v>11249</v>
      </c>
      <c r="E55" s="75">
        <f t="shared" si="6"/>
        <v>10666</v>
      </c>
      <c r="F55" s="75">
        <f t="shared" si="6"/>
        <v>10298</v>
      </c>
      <c r="G55" s="75">
        <f t="shared" si="6"/>
        <v>11883</v>
      </c>
      <c r="H55" s="75">
        <v>30231</v>
      </c>
      <c r="I55" s="75">
        <v>44115.5</v>
      </c>
      <c r="J55" s="75">
        <v>35677.199999999997</v>
      </c>
      <c r="K55" s="75">
        <v>54498.8</v>
      </c>
      <c r="L55" s="75">
        <v>23366.5</v>
      </c>
      <c r="M55" s="75">
        <v>53941.599999999999</v>
      </c>
      <c r="N55" s="75" t="s">
        <v>61</v>
      </c>
      <c r="O55" s="181"/>
      <c r="P55" s="215" t="s">
        <v>54</v>
      </c>
      <c r="R55" s="17"/>
    </row>
    <row r="56" spans="1:18" s="6" customFormat="1" ht="21" customHeight="1">
      <c r="A56" s="165" t="s">
        <v>209</v>
      </c>
      <c r="B56" s="188" t="s">
        <v>221</v>
      </c>
      <c r="C56" s="171"/>
      <c r="D56" s="75"/>
      <c r="E56" s="75"/>
      <c r="F56" s="75"/>
      <c r="G56" s="75"/>
      <c r="H56" s="172" t="s">
        <v>210</v>
      </c>
      <c r="I56" s="75"/>
      <c r="J56" s="75"/>
      <c r="K56" s="75"/>
      <c r="L56" s="75"/>
      <c r="M56" s="181"/>
      <c r="N56" s="181"/>
      <c r="O56" s="181" t="s">
        <v>157</v>
      </c>
      <c r="P56" s="174" t="s">
        <v>211</v>
      </c>
      <c r="R56" s="17"/>
    </row>
    <row r="57" spans="1:18" s="6" customFormat="1" ht="12.2" customHeight="1">
      <c r="A57" s="175" t="s">
        <v>46</v>
      </c>
      <c r="B57" s="150"/>
      <c r="C57" s="190"/>
      <c r="D57" s="97"/>
      <c r="E57" s="97"/>
      <c r="F57" s="97"/>
      <c r="G57" s="97"/>
      <c r="H57" s="200"/>
      <c r="I57" s="200"/>
      <c r="J57" s="200"/>
      <c r="K57" s="200"/>
      <c r="L57" s="200"/>
      <c r="M57" s="181"/>
      <c r="N57" s="181"/>
      <c r="O57" s="181"/>
      <c r="P57" s="215" t="s">
        <v>47</v>
      </c>
      <c r="R57" s="17"/>
    </row>
    <row r="58" spans="1:18" s="6" customFormat="1" ht="12.2" customHeight="1">
      <c r="A58" s="175" t="s">
        <v>55</v>
      </c>
      <c r="B58" s="150"/>
      <c r="C58" s="192">
        <v>1950812</v>
      </c>
      <c r="D58" s="75">
        <v>10354</v>
      </c>
      <c r="E58" s="75">
        <v>9665</v>
      </c>
      <c r="F58" s="75">
        <v>9332</v>
      </c>
      <c r="G58" s="75">
        <v>8931</v>
      </c>
      <c r="H58" s="75"/>
      <c r="I58" s="75">
        <v>157036</v>
      </c>
      <c r="J58" s="75">
        <v>152733</v>
      </c>
      <c r="K58" s="75">
        <v>162020</v>
      </c>
      <c r="L58" s="75">
        <v>194214</v>
      </c>
      <c r="M58" s="75">
        <v>215623</v>
      </c>
      <c r="N58" s="75">
        <v>209006</v>
      </c>
      <c r="O58" s="181"/>
      <c r="P58" s="215" t="s">
        <v>48</v>
      </c>
      <c r="R58" s="17"/>
    </row>
    <row r="59" spans="1:18" s="6" customFormat="1" ht="12.2" customHeight="1">
      <c r="A59" s="175" t="s">
        <v>49</v>
      </c>
      <c r="B59" s="150"/>
      <c r="C59" s="190"/>
      <c r="D59" s="75">
        <v>4253</v>
      </c>
      <c r="E59" s="75">
        <v>3722</v>
      </c>
      <c r="F59" s="75">
        <v>3216</v>
      </c>
      <c r="G59" s="75">
        <v>4338</v>
      </c>
      <c r="H59" s="75"/>
      <c r="I59" s="75" t="s">
        <v>61</v>
      </c>
      <c r="J59" s="75" t="s">
        <v>61</v>
      </c>
      <c r="K59" s="75" t="s">
        <v>61</v>
      </c>
      <c r="L59" s="75" t="s">
        <v>61</v>
      </c>
      <c r="M59" s="75" t="s">
        <v>61</v>
      </c>
      <c r="N59" s="75" t="s">
        <v>61</v>
      </c>
      <c r="O59" s="181"/>
      <c r="P59" s="215" t="s">
        <v>185</v>
      </c>
      <c r="R59" s="17"/>
    </row>
    <row r="60" spans="1:18" s="6" customFormat="1" ht="12.2" customHeight="1">
      <c r="A60" s="178" t="s">
        <v>50</v>
      </c>
      <c r="B60" s="150"/>
      <c r="C60" s="190">
        <v>31736</v>
      </c>
      <c r="D60" s="75">
        <v>895</v>
      </c>
      <c r="E60" s="75">
        <v>1001</v>
      </c>
      <c r="F60" s="75">
        <v>966</v>
      </c>
      <c r="G60" s="75">
        <v>551</v>
      </c>
      <c r="H60" s="150"/>
      <c r="I60" s="75">
        <v>37740</v>
      </c>
      <c r="J60" s="75">
        <v>46219</v>
      </c>
      <c r="K60" s="75">
        <v>47031</v>
      </c>
      <c r="L60" s="75">
        <v>50023</v>
      </c>
      <c r="M60" s="75">
        <v>51458</v>
      </c>
      <c r="N60" s="75">
        <v>48270</v>
      </c>
      <c r="O60" s="150"/>
      <c r="P60" s="215" t="s">
        <v>186</v>
      </c>
      <c r="R60" s="17"/>
    </row>
    <row r="61" spans="1:18" s="6" customFormat="1" ht="12.2" customHeight="1">
      <c r="A61" s="178" t="s">
        <v>52</v>
      </c>
      <c r="B61" s="150"/>
      <c r="C61" s="190" t="s">
        <v>51</v>
      </c>
      <c r="D61" s="159">
        <v>0</v>
      </c>
      <c r="E61" s="159">
        <v>0</v>
      </c>
      <c r="F61" s="159">
        <v>0</v>
      </c>
      <c r="G61" s="75">
        <v>2401</v>
      </c>
      <c r="H61" s="75"/>
      <c r="I61" s="75">
        <v>101765</v>
      </c>
      <c r="J61" s="75">
        <v>88803</v>
      </c>
      <c r="K61" s="75">
        <v>105963</v>
      </c>
      <c r="L61" s="75">
        <v>137803</v>
      </c>
      <c r="M61" s="75">
        <v>151543</v>
      </c>
      <c r="N61" s="75">
        <v>140241</v>
      </c>
      <c r="O61" s="181"/>
      <c r="P61" s="215" t="s">
        <v>184</v>
      </c>
      <c r="R61" s="17"/>
    </row>
    <row r="62" spans="1:18" s="6" customFormat="1" ht="12.2" customHeight="1">
      <c r="A62" s="178" t="s">
        <v>53</v>
      </c>
      <c r="B62" s="150"/>
      <c r="C62" s="190">
        <v>1982548</v>
      </c>
      <c r="D62" s="75">
        <f t="shared" ref="D62:G62" si="7">D58+D60+D61</f>
        <v>11249</v>
      </c>
      <c r="E62" s="75">
        <f t="shared" si="7"/>
        <v>10666</v>
      </c>
      <c r="F62" s="75">
        <f t="shared" si="7"/>
        <v>10298</v>
      </c>
      <c r="G62" s="75">
        <f t="shared" si="7"/>
        <v>11883</v>
      </c>
      <c r="H62" s="75">
        <v>185214</v>
      </c>
      <c r="I62" s="75">
        <f>I58+I60+I61</f>
        <v>296541</v>
      </c>
      <c r="J62" s="75">
        <f t="shared" ref="J62:M62" si="8">J58+J60+J61</f>
        <v>287755</v>
      </c>
      <c r="K62" s="75">
        <f t="shared" si="8"/>
        <v>315014</v>
      </c>
      <c r="L62" s="75">
        <f t="shared" si="8"/>
        <v>382040</v>
      </c>
      <c r="M62" s="75">
        <f t="shared" si="8"/>
        <v>418624</v>
      </c>
      <c r="N62" s="75">
        <f>N58+N60+N61</f>
        <v>397517</v>
      </c>
      <c r="O62" s="181"/>
      <c r="P62" s="215" t="s">
        <v>54</v>
      </c>
      <c r="R62" s="17"/>
    </row>
    <row r="63" spans="1:18" s="6" customFormat="1" ht="20.100000000000001" customHeight="1">
      <c r="A63" s="165" t="s">
        <v>92</v>
      </c>
      <c r="B63" s="188" t="s">
        <v>151</v>
      </c>
      <c r="C63" s="181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 t="s">
        <v>152</v>
      </c>
      <c r="P63" s="189" t="s">
        <v>183</v>
      </c>
    </row>
    <row r="64" spans="1:18" s="6" customFormat="1" ht="12.2" customHeight="1">
      <c r="A64" s="175" t="s">
        <v>46</v>
      </c>
      <c r="B64" s="150"/>
      <c r="C64" s="190"/>
      <c r="D64" s="97"/>
      <c r="E64" s="97"/>
      <c r="F64" s="97"/>
      <c r="G64" s="97"/>
      <c r="H64" s="200"/>
      <c r="I64" s="200"/>
      <c r="J64" s="200"/>
      <c r="K64" s="200"/>
      <c r="L64" s="200"/>
      <c r="M64" s="200"/>
      <c r="N64" s="200"/>
      <c r="O64" s="181"/>
      <c r="P64" s="215" t="s">
        <v>47</v>
      </c>
    </row>
    <row r="65" spans="1:18" s="6" customFormat="1" ht="12.2" customHeight="1">
      <c r="A65" s="175" t="s">
        <v>55</v>
      </c>
      <c r="B65" s="150"/>
      <c r="C65" s="192">
        <v>1950812</v>
      </c>
      <c r="D65" s="75">
        <v>2373.1</v>
      </c>
      <c r="E65" s="75">
        <v>2661.2</v>
      </c>
      <c r="F65" s="75">
        <v>3179.4</v>
      </c>
      <c r="G65" s="75">
        <v>3531</v>
      </c>
      <c r="H65" s="75">
        <v>3857.5</v>
      </c>
      <c r="I65" s="75">
        <v>4420.3999999999996</v>
      </c>
      <c r="J65" s="75">
        <v>4218.5</v>
      </c>
      <c r="K65" s="75">
        <v>4791.3</v>
      </c>
      <c r="L65" s="75">
        <v>6103.8</v>
      </c>
      <c r="M65" s="75">
        <v>8773</v>
      </c>
      <c r="N65" s="75">
        <v>8822</v>
      </c>
      <c r="O65" s="181"/>
      <c r="P65" s="215" t="s">
        <v>48</v>
      </c>
      <c r="R65" s="17"/>
    </row>
    <row r="66" spans="1:18" s="6" customFormat="1" ht="12.2" customHeight="1">
      <c r="A66" s="175" t="s">
        <v>49</v>
      </c>
      <c r="B66" s="150"/>
      <c r="C66" s="190"/>
      <c r="D66" s="75">
        <v>59.9</v>
      </c>
      <c r="E66" s="75">
        <v>74.400000000000006</v>
      </c>
      <c r="F66" s="75">
        <v>66.8</v>
      </c>
      <c r="G66" s="75">
        <v>55.6</v>
      </c>
      <c r="H66" s="75">
        <v>77.7</v>
      </c>
      <c r="I66" s="75">
        <v>50.8</v>
      </c>
      <c r="J66" s="75">
        <v>45</v>
      </c>
      <c r="K66" s="75">
        <v>37.4</v>
      </c>
      <c r="L66" s="75">
        <v>38.1</v>
      </c>
      <c r="M66" s="75">
        <v>45.3</v>
      </c>
      <c r="N66" s="75">
        <v>53.6</v>
      </c>
      <c r="O66" s="181"/>
      <c r="P66" s="215" t="s">
        <v>185</v>
      </c>
      <c r="R66" s="17"/>
    </row>
    <row r="67" spans="1:18" s="6" customFormat="1" ht="15" customHeight="1">
      <c r="A67" s="178" t="s">
        <v>50</v>
      </c>
      <c r="B67" s="150"/>
      <c r="C67" s="190">
        <v>31736</v>
      </c>
      <c r="D67" s="75">
        <v>700</v>
      </c>
      <c r="E67" s="75">
        <v>1034.8</v>
      </c>
      <c r="F67" s="75">
        <v>966.5</v>
      </c>
      <c r="G67" s="75">
        <v>1199.5</v>
      </c>
      <c r="H67" s="75">
        <v>1697.3</v>
      </c>
      <c r="I67" s="75">
        <v>2280.8000000000002</v>
      </c>
      <c r="J67" s="75">
        <v>2690.9</v>
      </c>
      <c r="K67" s="75">
        <v>2596.8000000000002</v>
      </c>
      <c r="L67" s="75">
        <v>2959.5</v>
      </c>
      <c r="M67" s="75">
        <v>2887</v>
      </c>
      <c r="N67" s="75">
        <v>3120</v>
      </c>
      <c r="O67" s="181"/>
      <c r="P67" s="215" t="s">
        <v>186</v>
      </c>
      <c r="R67" s="17"/>
    </row>
    <row r="68" spans="1:18" s="6" customFormat="1" ht="13.5" customHeight="1">
      <c r="A68" s="178" t="s">
        <v>52</v>
      </c>
      <c r="B68" s="150"/>
      <c r="C68" s="190" t="s">
        <v>51</v>
      </c>
      <c r="D68" s="75">
        <v>115.8</v>
      </c>
      <c r="E68" s="75">
        <v>113.9</v>
      </c>
      <c r="F68" s="75">
        <v>61.7</v>
      </c>
      <c r="G68" s="75">
        <v>205.6</v>
      </c>
      <c r="H68" s="75">
        <v>325.60000000000002</v>
      </c>
      <c r="I68" s="75">
        <v>859</v>
      </c>
      <c r="J68" s="75">
        <v>519.29999999999995</v>
      </c>
      <c r="K68" s="75">
        <v>577.20000000000005</v>
      </c>
      <c r="L68" s="75">
        <v>1674.6</v>
      </c>
      <c r="M68" s="75">
        <v>1896</v>
      </c>
      <c r="N68" s="75">
        <v>2048.1999999999998</v>
      </c>
      <c r="O68" s="181"/>
      <c r="P68" s="215" t="s">
        <v>184</v>
      </c>
      <c r="R68" s="51"/>
    </row>
    <row r="69" spans="1:18" s="6" customFormat="1" ht="12.2" customHeight="1">
      <c r="A69" s="178" t="s">
        <v>53</v>
      </c>
      <c r="B69" s="150"/>
      <c r="C69" s="190">
        <v>1982548</v>
      </c>
      <c r="D69" s="75">
        <f t="shared" ref="D69:J69" si="9">D65+D67+D68</f>
        <v>3188.9</v>
      </c>
      <c r="E69" s="75">
        <f t="shared" si="9"/>
        <v>3809.9</v>
      </c>
      <c r="F69" s="75">
        <f t="shared" si="9"/>
        <v>4207.5999999999995</v>
      </c>
      <c r="G69" s="75">
        <f t="shared" si="9"/>
        <v>4936.1000000000004</v>
      </c>
      <c r="H69" s="75">
        <f t="shared" si="9"/>
        <v>5880.4000000000005</v>
      </c>
      <c r="I69" s="75">
        <f t="shared" si="9"/>
        <v>7560.2</v>
      </c>
      <c r="J69" s="75">
        <f t="shared" si="9"/>
        <v>7428.7</v>
      </c>
      <c r="K69" s="75">
        <f>K65+K67+K68</f>
        <v>7965.3</v>
      </c>
      <c r="L69" s="75">
        <f>L65+L67+L68</f>
        <v>10737.9</v>
      </c>
      <c r="M69" s="75">
        <f>M65+M67+M68</f>
        <v>13556</v>
      </c>
      <c r="N69" s="75">
        <f>N65+N67+N68</f>
        <v>13990.2</v>
      </c>
      <c r="O69" s="181"/>
      <c r="P69" s="215" t="s">
        <v>54</v>
      </c>
      <c r="R69" s="17"/>
    </row>
    <row r="70" spans="1:18" s="6" customFormat="1" ht="20.100000000000001" customHeight="1">
      <c r="A70" s="165" t="s">
        <v>94</v>
      </c>
      <c r="B70" s="188" t="s">
        <v>153</v>
      </c>
      <c r="C70" s="181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 t="s">
        <v>154</v>
      </c>
      <c r="P70" s="189" t="s">
        <v>95</v>
      </c>
    </row>
    <row r="71" spans="1:18" s="6" customFormat="1" ht="12.2" customHeight="1">
      <c r="A71" s="175" t="s">
        <v>46</v>
      </c>
      <c r="B71" s="150"/>
      <c r="C71" s="190"/>
      <c r="D71" s="97"/>
      <c r="E71" s="97"/>
      <c r="F71" s="97"/>
      <c r="G71" s="97"/>
      <c r="H71" s="200"/>
      <c r="I71" s="200"/>
      <c r="J71" s="200"/>
      <c r="K71" s="200"/>
      <c r="L71" s="200"/>
      <c r="M71" s="200"/>
      <c r="N71" s="200"/>
      <c r="O71" s="181"/>
      <c r="P71" s="215" t="s">
        <v>47</v>
      </c>
    </row>
    <row r="72" spans="1:18" s="6" customFormat="1" ht="12.2" customHeight="1">
      <c r="A72" s="175" t="s">
        <v>55</v>
      </c>
      <c r="B72" s="150"/>
      <c r="C72" s="192">
        <v>1950812</v>
      </c>
      <c r="D72" s="75">
        <v>1272</v>
      </c>
      <c r="E72" s="75">
        <v>1528</v>
      </c>
      <c r="F72" s="75">
        <v>1994</v>
      </c>
      <c r="G72" s="75">
        <v>1426</v>
      </c>
      <c r="H72" s="75">
        <v>2567</v>
      </c>
      <c r="I72" s="75">
        <v>3272.7</v>
      </c>
      <c r="J72" s="75">
        <v>3190</v>
      </c>
      <c r="K72" s="75">
        <v>2983.2</v>
      </c>
      <c r="L72" s="75">
        <v>2960.6</v>
      </c>
      <c r="M72" s="75">
        <v>3047.1</v>
      </c>
      <c r="N72" s="75">
        <v>3250.7</v>
      </c>
      <c r="O72" s="181"/>
      <c r="P72" s="215" t="s">
        <v>48</v>
      </c>
      <c r="R72" s="17"/>
    </row>
    <row r="73" spans="1:18" s="6" customFormat="1" ht="12.2" customHeight="1">
      <c r="A73" s="175" t="s">
        <v>49</v>
      </c>
      <c r="B73" s="150"/>
      <c r="C73" s="190"/>
      <c r="D73" s="75">
        <v>10</v>
      </c>
      <c r="E73" s="75">
        <v>25</v>
      </c>
      <c r="F73" s="75">
        <v>39</v>
      </c>
      <c r="G73" s="75">
        <v>32</v>
      </c>
      <c r="H73" s="75" t="s">
        <v>61</v>
      </c>
      <c r="I73" s="75" t="s">
        <v>141</v>
      </c>
      <c r="J73" s="75" t="s">
        <v>141</v>
      </c>
      <c r="K73" s="75" t="s">
        <v>141</v>
      </c>
      <c r="L73" s="75" t="s">
        <v>141</v>
      </c>
      <c r="M73" s="75" t="s">
        <v>141</v>
      </c>
      <c r="N73" s="75" t="s">
        <v>141</v>
      </c>
      <c r="O73" s="181"/>
      <c r="P73" s="215" t="s">
        <v>185</v>
      </c>
      <c r="R73" s="17"/>
    </row>
    <row r="74" spans="1:18" s="6" customFormat="1" ht="14.25" customHeight="1">
      <c r="A74" s="178" t="s">
        <v>50</v>
      </c>
      <c r="B74" s="150"/>
      <c r="C74" s="190">
        <v>31736</v>
      </c>
      <c r="D74" s="183">
        <v>395</v>
      </c>
      <c r="E74" s="159">
        <v>0</v>
      </c>
      <c r="F74" s="183">
        <v>287</v>
      </c>
      <c r="G74" s="183">
        <v>281</v>
      </c>
      <c r="H74" s="183">
        <v>310</v>
      </c>
      <c r="I74" s="183">
        <v>215</v>
      </c>
      <c r="J74" s="75">
        <v>185.9</v>
      </c>
      <c r="K74" s="75">
        <v>275.10000000000002</v>
      </c>
      <c r="L74" s="75">
        <v>296.2</v>
      </c>
      <c r="M74" s="75">
        <v>211</v>
      </c>
      <c r="N74" s="75">
        <v>168.4</v>
      </c>
      <c r="O74" s="181"/>
      <c r="P74" s="215" t="s">
        <v>186</v>
      </c>
      <c r="R74" s="51"/>
    </row>
    <row r="75" spans="1:18" s="6" customFormat="1" ht="12.2" customHeight="1">
      <c r="A75" s="178" t="s">
        <v>52</v>
      </c>
      <c r="B75" s="150"/>
      <c r="C75" s="190" t="s">
        <v>51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  <c r="I75" s="159">
        <v>0</v>
      </c>
      <c r="J75" s="75" t="s">
        <v>141</v>
      </c>
      <c r="K75" s="75" t="s">
        <v>141</v>
      </c>
      <c r="L75" s="75" t="s">
        <v>141</v>
      </c>
      <c r="M75" s="75" t="s">
        <v>141</v>
      </c>
      <c r="N75" s="75" t="s">
        <v>141</v>
      </c>
      <c r="O75" s="181"/>
      <c r="P75" s="215" t="s">
        <v>184</v>
      </c>
      <c r="R75" s="17"/>
    </row>
    <row r="76" spans="1:18" s="6" customFormat="1" ht="12.2" customHeight="1">
      <c r="A76" s="178" t="s">
        <v>53</v>
      </c>
      <c r="B76" s="150"/>
      <c r="C76" s="190">
        <v>1982548</v>
      </c>
      <c r="D76" s="75">
        <f t="shared" ref="D76:H76" si="10">D72+D74+D75</f>
        <v>1667</v>
      </c>
      <c r="E76" s="75">
        <f t="shared" si="10"/>
        <v>1528</v>
      </c>
      <c r="F76" s="75">
        <f t="shared" si="10"/>
        <v>2281</v>
      </c>
      <c r="G76" s="75">
        <f t="shared" si="10"/>
        <v>1707</v>
      </c>
      <c r="H76" s="75">
        <f t="shared" si="10"/>
        <v>2877</v>
      </c>
      <c r="I76" s="75">
        <f t="shared" ref="I76:N76" si="11">I72+I74</f>
        <v>3487.7</v>
      </c>
      <c r="J76" s="75">
        <f t="shared" si="11"/>
        <v>3375.9</v>
      </c>
      <c r="K76" s="75">
        <f t="shared" si="11"/>
        <v>3258.2999999999997</v>
      </c>
      <c r="L76" s="75">
        <f t="shared" si="11"/>
        <v>3256.7999999999997</v>
      </c>
      <c r="M76" s="75">
        <f t="shared" si="11"/>
        <v>3258.1</v>
      </c>
      <c r="N76" s="75">
        <f t="shared" si="11"/>
        <v>3419.1</v>
      </c>
      <c r="O76" s="181"/>
      <c r="P76" s="215" t="s">
        <v>54</v>
      </c>
    </row>
    <row r="77" spans="1:18" s="6" customFormat="1" ht="20.100000000000001" customHeight="1">
      <c r="A77" s="165" t="s">
        <v>96</v>
      </c>
      <c r="B77" s="188" t="s">
        <v>151</v>
      </c>
      <c r="C77" s="181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 t="s">
        <v>152</v>
      </c>
      <c r="P77" s="189" t="s">
        <v>127</v>
      </c>
    </row>
    <row r="78" spans="1:18" s="6" customFormat="1" ht="12.2" customHeight="1">
      <c r="A78" s="175" t="s">
        <v>46</v>
      </c>
      <c r="B78" s="150"/>
      <c r="C78" s="190"/>
      <c r="D78" s="97"/>
      <c r="E78" s="97"/>
      <c r="F78" s="97"/>
      <c r="G78" s="97"/>
      <c r="H78" s="200"/>
      <c r="I78" s="200"/>
      <c r="J78" s="200"/>
      <c r="K78" s="200"/>
      <c r="L78" s="200"/>
      <c r="M78" s="200"/>
      <c r="N78" s="200"/>
      <c r="O78" s="181"/>
      <c r="P78" s="215" t="s">
        <v>47</v>
      </c>
    </row>
    <row r="79" spans="1:18" s="6" customFormat="1" ht="12.2" customHeight="1">
      <c r="A79" s="175" t="s">
        <v>55</v>
      </c>
      <c r="B79" s="150"/>
      <c r="C79" s="192">
        <v>1950812</v>
      </c>
      <c r="D79" s="75">
        <v>21921</v>
      </c>
      <c r="E79" s="75">
        <v>28270</v>
      </c>
      <c r="F79" s="75">
        <v>32755</v>
      </c>
      <c r="G79" s="75">
        <v>49751</v>
      </c>
      <c r="H79" s="75">
        <v>52316</v>
      </c>
      <c r="I79" s="75">
        <v>65797</v>
      </c>
      <c r="J79" s="75">
        <v>75788</v>
      </c>
      <c r="K79" s="75">
        <f>45493+22877</f>
        <v>68370</v>
      </c>
      <c r="L79" s="75">
        <f>49602+25207</f>
        <v>74809</v>
      </c>
      <c r="M79" s="75">
        <f>79629+36692</f>
        <v>116321</v>
      </c>
      <c r="N79" s="75">
        <f>44262+77505</f>
        <v>121767</v>
      </c>
      <c r="O79" s="181"/>
      <c r="P79" s="215" t="s">
        <v>48</v>
      </c>
      <c r="R79" s="17"/>
    </row>
    <row r="80" spans="1:18" s="6" customFormat="1" ht="12.2" customHeight="1">
      <c r="A80" s="175" t="s">
        <v>49</v>
      </c>
      <c r="B80" s="150"/>
      <c r="C80" s="190"/>
      <c r="D80" s="75">
        <v>1942</v>
      </c>
      <c r="E80" s="75">
        <v>1880</v>
      </c>
      <c r="F80" s="75">
        <v>1898</v>
      </c>
      <c r="G80" s="75">
        <v>2006</v>
      </c>
      <c r="H80" s="75">
        <v>1855</v>
      </c>
      <c r="I80" s="75">
        <v>2100</v>
      </c>
      <c r="J80" s="75">
        <v>3998</v>
      </c>
      <c r="K80" s="75">
        <v>5577</v>
      </c>
      <c r="L80" s="75">
        <v>9613</v>
      </c>
      <c r="M80" s="75" t="s">
        <v>61</v>
      </c>
      <c r="N80" s="75" t="s">
        <v>61</v>
      </c>
      <c r="O80" s="181"/>
      <c r="P80" s="215" t="s">
        <v>185</v>
      </c>
      <c r="R80" s="17"/>
    </row>
    <row r="81" spans="1:18" s="111" customFormat="1" ht="14.25" customHeight="1">
      <c r="A81" s="199" t="s">
        <v>50</v>
      </c>
      <c r="B81" s="216"/>
      <c r="C81" s="217">
        <v>31736</v>
      </c>
      <c r="D81" s="112">
        <v>5266</v>
      </c>
      <c r="E81" s="112">
        <v>7832</v>
      </c>
      <c r="F81" s="112">
        <v>18013</v>
      </c>
      <c r="G81" s="112">
        <v>17396</v>
      </c>
      <c r="H81" s="112">
        <v>33933</v>
      </c>
      <c r="I81" s="112">
        <v>33429</v>
      </c>
      <c r="J81" s="112">
        <v>39246</v>
      </c>
      <c r="K81" s="112">
        <v>6017</v>
      </c>
      <c r="L81" s="112">
        <v>7129</v>
      </c>
      <c r="M81" s="112">
        <v>18147</v>
      </c>
      <c r="N81" s="112">
        <v>13951</v>
      </c>
      <c r="O81" s="218"/>
      <c r="P81" s="219" t="s">
        <v>186</v>
      </c>
      <c r="R81" s="113"/>
    </row>
    <row r="82" spans="1:18" s="6" customFormat="1" ht="14.25" customHeight="1">
      <c r="A82" s="178" t="s">
        <v>52</v>
      </c>
      <c r="B82" s="150"/>
      <c r="C82" s="190" t="s">
        <v>51</v>
      </c>
      <c r="D82" s="159">
        <v>0</v>
      </c>
      <c r="E82" s="159">
        <v>0</v>
      </c>
      <c r="F82" s="159">
        <v>0</v>
      </c>
      <c r="G82" s="159">
        <v>0</v>
      </c>
      <c r="H82" s="159">
        <v>0</v>
      </c>
      <c r="I82" s="159">
        <v>0</v>
      </c>
      <c r="J82" s="159">
        <v>0</v>
      </c>
      <c r="K82" s="112">
        <v>43487</v>
      </c>
      <c r="L82" s="112">
        <v>57999</v>
      </c>
      <c r="M82" s="112">
        <v>68742</v>
      </c>
      <c r="N82" s="112">
        <v>74884</v>
      </c>
      <c r="O82" s="181"/>
      <c r="P82" s="215" t="s">
        <v>184</v>
      </c>
      <c r="R82" s="51"/>
    </row>
    <row r="83" spans="1:18" s="6" customFormat="1" ht="12.2" customHeight="1">
      <c r="A83" s="178" t="s">
        <v>53</v>
      </c>
      <c r="B83" s="150"/>
      <c r="C83" s="190">
        <v>1982548</v>
      </c>
      <c r="D83" s="75">
        <f t="shared" ref="D83:J83" si="12">D79+D81+D82</f>
        <v>27187</v>
      </c>
      <c r="E83" s="75">
        <f t="shared" si="12"/>
        <v>36102</v>
      </c>
      <c r="F83" s="75">
        <f t="shared" si="12"/>
        <v>50768</v>
      </c>
      <c r="G83" s="75">
        <f t="shared" si="12"/>
        <v>67147</v>
      </c>
      <c r="H83" s="75">
        <f t="shared" si="12"/>
        <v>86249</v>
      </c>
      <c r="I83" s="75">
        <f t="shared" si="12"/>
        <v>99226</v>
      </c>
      <c r="J83" s="75">
        <f t="shared" si="12"/>
        <v>115034</v>
      </c>
      <c r="K83" s="75">
        <v>117875</v>
      </c>
      <c r="L83" s="75">
        <v>139938</v>
      </c>
      <c r="M83" s="75">
        <v>203210</v>
      </c>
      <c r="N83" s="75">
        <v>210602</v>
      </c>
      <c r="O83" s="181"/>
      <c r="P83" s="215" t="s">
        <v>54</v>
      </c>
      <c r="R83" s="17"/>
    </row>
    <row r="84" spans="1:18" s="6" customFormat="1" ht="20.100000000000001" customHeight="1">
      <c r="A84" s="165" t="s">
        <v>117</v>
      </c>
      <c r="B84" s="188" t="s">
        <v>151</v>
      </c>
      <c r="C84" s="181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 t="s">
        <v>152</v>
      </c>
      <c r="P84" s="189" t="s">
        <v>128</v>
      </c>
    </row>
    <row r="85" spans="1:18" s="6" customFormat="1" ht="12.2" customHeight="1">
      <c r="A85" s="175" t="s">
        <v>46</v>
      </c>
      <c r="B85" s="150"/>
      <c r="C85" s="190"/>
      <c r="D85" s="97"/>
      <c r="E85" s="97"/>
      <c r="F85" s="97"/>
      <c r="G85" s="97"/>
      <c r="H85" s="200"/>
      <c r="I85" s="200"/>
      <c r="J85" s="200"/>
      <c r="K85" s="200"/>
      <c r="L85" s="200"/>
      <c r="M85" s="200"/>
      <c r="N85" s="200"/>
      <c r="O85" s="181"/>
      <c r="P85" s="215" t="s">
        <v>47</v>
      </c>
    </row>
    <row r="86" spans="1:18" s="6" customFormat="1" ht="12.2" customHeight="1">
      <c r="A86" s="175" t="s">
        <v>55</v>
      </c>
      <c r="B86" s="150"/>
      <c r="C86" s="192">
        <v>1950812</v>
      </c>
      <c r="D86" s="75">
        <v>223530</v>
      </c>
      <c r="E86" s="75">
        <v>247649</v>
      </c>
      <c r="F86" s="75">
        <v>284173</v>
      </c>
      <c r="G86" s="75">
        <v>322411</v>
      </c>
      <c r="H86" s="75">
        <v>347199</v>
      </c>
      <c r="I86" s="75">
        <v>388839</v>
      </c>
      <c r="J86" s="75">
        <v>416594</v>
      </c>
      <c r="K86" s="75">
        <v>455043</v>
      </c>
      <c r="L86" s="75">
        <v>550500</v>
      </c>
      <c r="M86" s="75">
        <v>611626</v>
      </c>
      <c r="N86" s="75" t="s">
        <v>61</v>
      </c>
      <c r="O86" s="181"/>
      <c r="P86" s="215" t="s">
        <v>48</v>
      </c>
      <c r="R86" s="17"/>
    </row>
    <row r="87" spans="1:18" s="6" customFormat="1" ht="12.2" customHeight="1">
      <c r="A87" s="175" t="s">
        <v>49</v>
      </c>
      <c r="B87" s="150"/>
      <c r="C87" s="190"/>
      <c r="D87" s="97" t="s">
        <v>61</v>
      </c>
      <c r="E87" s="97" t="s">
        <v>61</v>
      </c>
      <c r="F87" s="97" t="s">
        <v>61</v>
      </c>
      <c r="G87" s="97" t="s">
        <v>61</v>
      </c>
      <c r="H87" s="97" t="s">
        <v>61</v>
      </c>
      <c r="I87" s="75" t="s">
        <v>61</v>
      </c>
      <c r="J87" s="75" t="s">
        <v>61</v>
      </c>
      <c r="K87" s="75" t="s">
        <v>61</v>
      </c>
      <c r="L87" s="75" t="s">
        <v>61</v>
      </c>
      <c r="M87" s="75" t="s">
        <v>61</v>
      </c>
      <c r="N87" s="75" t="s">
        <v>61</v>
      </c>
      <c r="O87" s="181"/>
      <c r="P87" s="215" t="s">
        <v>185</v>
      </c>
      <c r="R87" s="90"/>
    </row>
    <row r="88" spans="1:18" s="6" customFormat="1" ht="13.5" customHeight="1">
      <c r="A88" s="178" t="s">
        <v>50</v>
      </c>
      <c r="B88" s="150"/>
      <c r="C88" s="190">
        <v>31736</v>
      </c>
      <c r="D88" s="75">
        <v>33470</v>
      </c>
      <c r="E88" s="75">
        <v>37551</v>
      </c>
      <c r="F88" s="75">
        <v>62301</v>
      </c>
      <c r="G88" s="75">
        <v>70911</v>
      </c>
      <c r="H88" s="75">
        <v>119049</v>
      </c>
      <c r="I88" s="112">
        <v>131230</v>
      </c>
      <c r="J88" s="112">
        <v>179840</v>
      </c>
      <c r="K88" s="75">
        <v>198842</v>
      </c>
      <c r="L88" s="75">
        <v>276200</v>
      </c>
      <c r="M88" s="75">
        <v>261679</v>
      </c>
      <c r="N88" s="75" t="s">
        <v>61</v>
      </c>
      <c r="O88" s="181"/>
      <c r="P88" s="215" t="s">
        <v>186</v>
      </c>
      <c r="R88" s="17"/>
    </row>
    <row r="89" spans="1:18" s="6" customFormat="1" ht="12.2" customHeight="1">
      <c r="A89" s="178" t="s">
        <v>52</v>
      </c>
      <c r="B89" s="150"/>
      <c r="C89" s="190" t="s">
        <v>51</v>
      </c>
      <c r="D89" s="159">
        <v>0</v>
      </c>
      <c r="E89" s="159">
        <v>0</v>
      </c>
      <c r="F89" s="159">
        <v>0</v>
      </c>
      <c r="G89" s="159">
        <v>0</v>
      </c>
      <c r="H89" s="159">
        <v>0</v>
      </c>
      <c r="I89" s="112" t="s">
        <v>141</v>
      </c>
      <c r="J89" s="112" t="s">
        <v>141</v>
      </c>
      <c r="K89" s="112">
        <f>K90-(K86+K88)</f>
        <v>0</v>
      </c>
      <c r="L89" s="112" t="s">
        <v>141</v>
      </c>
      <c r="M89" s="112" t="s">
        <v>141</v>
      </c>
      <c r="N89" s="112" t="s">
        <v>141</v>
      </c>
      <c r="O89" s="181"/>
      <c r="P89" s="215" t="s">
        <v>184</v>
      </c>
      <c r="R89" s="17"/>
    </row>
    <row r="90" spans="1:18" s="6" customFormat="1" ht="12.2" customHeight="1">
      <c r="A90" s="178" t="s">
        <v>53</v>
      </c>
      <c r="B90" s="150"/>
      <c r="C90" s="190">
        <v>1982548</v>
      </c>
      <c r="D90" s="75">
        <f t="shared" ref="D90:H90" si="13">SUM(D86:D89)</f>
        <v>257000</v>
      </c>
      <c r="E90" s="75">
        <f t="shared" si="13"/>
        <v>285200</v>
      </c>
      <c r="F90" s="75">
        <f t="shared" si="13"/>
        <v>346474</v>
      </c>
      <c r="G90" s="75">
        <f t="shared" si="13"/>
        <v>393322</v>
      </c>
      <c r="H90" s="75">
        <f t="shared" si="13"/>
        <v>466248</v>
      </c>
      <c r="I90" s="75">
        <v>520069</v>
      </c>
      <c r="J90" s="75">
        <v>596434</v>
      </c>
      <c r="K90" s="75">
        <v>653885</v>
      </c>
      <c r="L90" s="75">
        <v>826700</v>
      </c>
      <c r="M90" s="75">
        <v>873305</v>
      </c>
      <c r="N90" s="75" t="s">
        <v>61</v>
      </c>
      <c r="O90" s="181"/>
      <c r="P90" s="215" t="s">
        <v>54</v>
      </c>
    </row>
    <row r="91" spans="1:18" s="6" customFormat="1" ht="20.25" customHeight="1">
      <c r="A91" s="188" t="s">
        <v>140</v>
      </c>
      <c r="B91" s="188" t="s">
        <v>146</v>
      </c>
      <c r="C91" s="190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73" t="s">
        <v>147</v>
      </c>
      <c r="P91" s="220" t="s">
        <v>14</v>
      </c>
    </row>
    <row r="92" spans="1:18" s="6" customFormat="1" ht="12.2" customHeight="1">
      <c r="A92" s="175" t="s">
        <v>46</v>
      </c>
      <c r="B92" s="150"/>
      <c r="C92" s="190"/>
      <c r="D92" s="183"/>
      <c r="E92" s="183" t="s">
        <v>61</v>
      </c>
      <c r="F92" s="183"/>
      <c r="G92" s="183"/>
      <c r="H92" s="183"/>
      <c r="I92" s="183"/>
      <c r="J92" s="183"/>
      <c r="K92" s="183"/>
      <c r="L92" s="183"/>
      <c r="M92" s="183"/>
      <c r="N92" s="183"/>
      <c r="O92" s="181"/>
      <c r="P92" s="215" t="s">
        <v>47</v>
      </c>
    </row>
    <row r="93" spans="1:18" s="6" customFormat="1" ht="12.2" customHeight="1">
      <c r="A93" s="175" t="s">
        <v>55</v>
      </c>
      <c r="B93" s="150"/>
      <c r="C93" s="190"/>
      <c r="D93" s="183"/>
      <c r="E93" s="183" t="s">
        <v>61</v>
      </c>
      <c r="F93" s="183" t="s">
        <v>61</v>
      </c>
      <c r="G93" s="183" t="s">
        <v>61</v>
      </c>
      <c r="H93" s="183">
        <v>17403.3</v>
      </c>
      <c r="I93" s="75">
        <v>22724.799999999999</v>
      </c>
      <c r="J93" s="75">
        <v>21025.9</v>
      </c>
      <c r="K93" s="75">
        <v>24162.1</v>
      </c>
      <c r="L93" s="75">
        <v>28578.3</v>
      </c>
      <c r="M93" s="75">
        <v>26272</v>
      </c>
      <c r="N93" s="75">
        <v>36178.400000000001</v>
      </c>
      <c r="O93" s="181"/>
      <c r="P93" s="215" t="s">
        <v>48</v>
      </c>
    </row>
    <row r="94" spans="1:18" s="6" customFormat="1" ht="12.2" customHeight="1">
      <c r="A94" s="175" t="s">
        <v>49</v>
      </c>
      <c r="B94" s="150"/>
      <c r="C94" s="190"/>
      <c r="D94" s="183"/>
      <c r="E94" s="183" t="s">
        <v>61</v>
      </c>
      <c r="F94" s="183" t="s">
        <v>61</v>
      </c>
      <c r="G94" s="183" t="s">
        <v>61</v>
      </c>
      <c r="H94" s="183" t="s">
        <v>61</v>
      </c>
      <c r="I94" s="75" t="s">
        <v>61</v>
      </c>
      <c r="J94" s="75" t="s">
        <v>61</v>
      </c>
      <c r="K94" s="75">
        <v>1668.8</v>
      </c>
      <c r="L94" s="75">
        <v>2209</v>
      </c>
      <c r="M94" s="75">
        <v>2524.9</v>
      </c>
      <c r="N94" s="75">
        <v>1511.4</v>
      </c>
      <c r="O94" s="181"/>
      <c r="P94" s="215" t="s">
        <v>185</v>
      </c>
    </row>
    <row r="95" spans="1:18" s="6" customFormat="1" ht="13.5" customHeight="1">
      <c r="A95" s="178" t="s">
        <v>50</v>
      </c>
      <c r="B95" s="150"/>
      <c r="C95" s="190"/>
      <c r="D95" s="183"/>
      <c r="E95" s="183" t="s">
        <v>61</v>
      </c>
      <c r="F95" s="183" t="s">
        <v>61</v>
      </c>
      <c r="G95" s="183" t="s">
        <v>61</v>
      </c>
      <c r="H95" s="183">
        <v>3567.9</v>
      </c>
      <c r="I95" s="75">
        <v>3260.8</v>
      </c>
      <c r="J95" s="75">
        <v>3915.2</v>
      </c>
      <c r="K95" s="75">
        <v>4161.8999999999996</v>
      </c>
      <c r="L95" s="75">
        <v>3614.7</v>
      </c>
      <c r="M95" s="75">
        <v>3549.5</v>
      </c>
      <c r="N95" s="75">
        <f>N97-N93</f>
        <v>4589.5999999999985</v>
      </c>
      <c r="O95" s="181"/>
      <c r="P95" s="215" t="s">
        <v>186</v>
      </c>
    </row>
    <row r="96" spans="1:18" s="6" customFormat="1" ht="13.5" customHeight="1">
      <c r="A96" s="178" t="s">
        <v>52</v>
      </c>
      <c r="B96" s="150"/>
      <c r="C96" s="190"/>
      <c r="D96" s="183"/>
      <c r="E96" s="183" t="s">
        <v>61</v>
      </c>
      <c r="F96" s="183" t="s">
        <v>61</v>
      </c>
      <c r="G96" s="183" t="s">
        <v>61</v>
      </c>
      <c r="H96" s="183" t="s">
        <v>61</v>
      </c>
      <c r="I96" s="75" t="s">
        <v>61</v>
      </c>
      <c r="J96" s="75" t="s">
        <v>61</v>
      </c>
      <c r="K96" s="75" t="s">
        <v>61</v>
      </c>
      <c r="L96" s="75" t="s">
        <v>61</v>
      </c>
      <c r="M96" s="75" t="s">
        <v>61</v>
      </c>
      <c r="N96" s="75" t="s">
        <v>61</v>
      </c>
      <c r="O96" s="181"/>
      <c r="P96" s="215" t="s">
        <v>184</v>
      </c>
      <c r="R96" s="63"/>
    </row>
    <row r="97" spans="1:18" s="6" customFormat="1" ht="12.2" customHeight="1">
      <c r="A97" s="178" t="s">
        <v>53</v>
      </c>
      <c r="B97" s="150"/>
      <c r="C97" s="190"/>
      <c r="D97" s="183"/>
      <c r="E97" s="183" t="s">
        <v>61</v>
      </c>
      <c r="F97" s="183" t="s">
        <v>61</v>
      </c>
      <c r="G97" s="183">
        <v>18253</v>
      </c>
      <c r="H97" s="183">
        <v>20971</v>
      </c>
      <c r="I97" s="75">
        <v>25985.599999999999</v>
      </c>
      <c r="J97" s="75">
        <v>24941.1</v>
      </c>
      <c r="K97" s="75">
        <v>28324</v>
      </c>
      <c r="L97" s="75">
        <v>32193</v>
      </c>
      <c r="M97" s="75">
        <v>29821.5</v>
      </c>
      <c r="N97" s="75">
        <v>40768</v>
      </c>
      <c r="O97" s="181"/>
      <c r="P97" s="215" t="s">
        <v>54</v>
      </c>
    </row>
    <row r="98" spans="1:18" s="6" customFormat="1" ht="20.100000000000001" customHeight="1">
      <c r="A98" s="165" t="s">
        <v>118</v>
      </c>
      <c r="B98" s="188" t="s">
        <v>146</v>
      </c>
      <c r="C98" s="181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 t="s">
        <v>147</v>
      </c>
      <c r="P98" s="189" t="s">
        <v>100</v>
      </c>
    </row>
    <row r="99" spans="1:18" s="6" customFormat="1" ht="12.2" customHeight="1">
      <c r="A99" s="175" t="s">
        <v>46</v>
      </c>
      <c r="B99" s="150"/>
      <c r="C99" s="190"/>
      <c r="D99" s="97"/>
      <c r="E99" s="97"/>
      <c r="F99" s="97"/>
      <c r="G99" s="97"/>
      <c r="H99" s="200"/>
      <c r="I99" s="200"/>
      <c r="J99" s="200"/>
      <c r="K99" s="221"/>
      <c r="L99" s="221"/>
      <c r="M99" s="221"/>
      <c r="N99" s="221"/>
      <c r="O99" s="181"/>
      <c r="P99" s="215" t="s">
        <v>47</v>
      </c>
    </row>
    <row r="100" spans="1:18" s="6" customFormat="1" ht="12.2" customHeight="1">
      <c r="A100" s="175" t="s">
        <v>55</v>
      </c>
      <c r="B100" s="150"/>
      <c r="C100" s="192">
        <v>1950812</v>
      </c>
      <c r="D100" s="75">
        <f>18.8*10673</f>
        <v>200652.4</v>
      </c>
      <c r="E100" s="75">
        <f>19.7*12631</f>
        <v>248830.69999999998</v>
      </c>
      <c r="F100" s="75">
        <v>276353</v>
      </c>
      <c r="G100" s="75">
        <v>317213</v>
      </c>
      <c r="H100" s="75">
        <v>325697</v>
      </c>
      <c r="I100" s="75">
        <v>375327</v>
      </c>
      <c r="J100" s="75">
        <v>442180</v>
      </c>
      <c r="K100" s="97" t="s">
        <v>61</v>
      </c>
      <c r="L100" s="97" t="s">
        <v>61</v>
      </c>
      <c r="M100" s="97" t="s">
        <v>61</v>
      </c>
      <c r="N100" s="97" t="s">
        <v>61</v>
      </c>
      <c r="O100" s="181"/>
      <c r="P100" s="215" t="s">
        <v>48</v>
      </c>
      <c r="R100" s="17"/>
    </row>
    <row r="101" spans="1:18" s="6" customFormat="1" ht="12.2" customHeight="1">
      <c r="A101" s="175" t="s">
        <v>49</v>
      </c>
      <c r="B101" s="150"/>
      <c r="C101" s="190"/>
      <c r="D101" s="97" t="s">
        <v>61</v>
      </c>
      <c r="E101" s="97" t="s">
        <v>61</v>
      </c>
      <c r="F101" s="97" t="s">
        <v>61</v>
      </c>
      <c r="G101" s="75">
        <v>29500</v>
      </c>
      <c r="H101" s="75">
        <v>30000</v>
      </c>
      <c r="I101" s="75">
        <v>25500</v>
      </c>
      <c r="J101" s="75">
        <v>28000</v>
      </c>
      <c r="K101" s="97" t="s">
        <v>61</v>
      </c>
      <c r="L101" s="97" t="s">
        <v>61</v>
      </c>
      <c r="M101" s="97" t="s">
        <v>61</v>
      </c>
      <c r="N101" s="97" t="s">
        <v>61</v>
      </c>
      <c r="O101" s="75"/>
      <c r="P101" s="215" t="s">
        <v>185</v>
      </c>
      <c r="R101" s="17"/>
    </row>
    <row r="102" spans="1:18" s="111" customFormat="1" ht="14.25" customHeight="1">
      <c r="A102" s="199" t="s">
        <v>50</v>
      </c>
      <c r="B102" s="216"/>
      <c r="C102" s="217">
        <v>31736</v>
      </c>
      <c r="D102" s="112">
        <f>14.3*10673</f>
        <v>152623.9</v>
      </c>
      <c r="E102" s="112">
        <f>12.4*12631</f>
        <v>156624.4</v>
      </c>
      <c r="F102" s="112">
        <v>153861.40000000002</v>
      </c>
      <c r="G102" s="112">
        <v>176487</v>
      </c>
      <c r="H102" s="112">
        <v>194834</v>
      </c>
      <c r="I102" s="112">
        <v>173067</v>
      </c>
      <c r="J102" s="112">
        <v>212393</v>
      </c>
      <c r="K102" s="222" t="s">
        <v>61</v>
      </c>
      <c r="L102" s="222" t="s">
        <v>61</v>
      </c>
      <c r="M102" s="97" t="s">
        <v>61</v>
      </c>
      <c r="N102" s="97" t="s">
        <v>61</v>
      </c>
      <c r="O102" s="218"/>
      <c r="P102" s="219" t="s">
        <v>186</v>
      </c>
      <c r="R102" s="113"/>
    </row>
    <row r="103" spans="1:18" s="111" customFormat="1" ht="12.75" customHeight="1">
      <c r="A103" s="199" t="s">
        <v>52</v>
      </c>
      <c r="B103" s="216"/>
      <c r="C103" s="217" t="s">
        <v>51</v>
      </c>
      <c r="D103" s="223">
        <v>0</v>
      </c>
      <c r="E103" s="223">
        <v>0</v>
      </c>
      <c r="F103" s="223">
        <v>0</v>
      </c>
      <c r="G103" s="223">
        <v>0</v>
      </c>
      <c r="H103" s="112">
        <v>0</v>
      </c>
      <c r="I103" s="222" t="s">
        <v>61</v>
      </c>
      <c r="J103" s="222" t="s">
        <v>61</v>
      </c>
      <c r="K103" s="222" t="s">
        <v>61</v>
      </c>
      <c r="L103" s="222" t="s">
        <v>61</v>
      </c>
      <c r="M103" s="97" t="s">
        <v>61</v>
      </c>
      <c r="N103" s="97" t="s">
        <v>61</v>
      </c>
      <c r="O103" s="218"/>
      <c r="P103" s="219" t="s">
        <v>184</v>
      </c>
      <c r="R103" s="114"/>
    </row>
    <row r="104" spans="1:18" s="6" customFormat="1" ht="12.2" customHeight="1">
      <c r="A104" s="178" t="s">
        <v>283</v>
      </c>
      <c r="B104" s="150"/>
      <c r="C104" s="190">
        <v>1982548</v>
      </c>
      <c r="D104" s="75">
        <f t="shared" ref="D104:H104" si="14">D100+D102</f>
        <v>353276.3</v>
      </c>
      <c r="E104" s="75">
        <f t="shared" si="14"/>
        <v>405455.1</v>
      </c>
      <c r="F104" s="75">
        <f t="shared" si="14"/>
        <v>430214.40000000002</v>
      </c>
      <c r="G104" s="75">
        <f t="shared" si="14"/>
        <v>493700</v>
      </c>
      <c r="H104" s="75">
        <f t="shared" si="14"/>
        <v>520531</v>
      </c>
      <c r="I104" s="75">
        <f t="shared" ref="I104:J104" si="15">I100+I102</f>
        <v>548394</v>
      </c>
      <c r="J104" s="75">
        <f t="shared" si="15"/>
        <v>654573</v>
      </c>
      <c r="K104" s="97" t="s">
        <v>61</v>
      </c>
      <c r="L104" s="97" t="s">
        <v>61</v>
      </c>
      <c r="M104" s="97" t="s">
        <v>61</v>
      </c>
      <c r="N104" s="97" t="s">
        <v>61</v>
      </c>
      <c r="O104" s="181"/>
      <c r="P104" s="215" t="s">
        <v>54</v>
      </c>
      <c r="R104" s="17"/>
    </row>
    <row r="105" spans="1:18" s="6" customFormat="1" ht="26.25" customHeight="1">
      <c r="A105" s="165" t="s">
        <v>212</v>
      </c>
      <c r="B105" s="188" t="s">
        <v>144</v>
      </c>
      <c r="C105" s="171"/>
      <c r="D105" s="183"/>
      <c r="E105" s="75"/>
      <c r="F105" s="75"/>
      <c r="G105" s="75"/>
      <c r="H105" s="172" t="s">
        <v>207</v>
      </c>
      <c r="I105" s="75"/>
      <c r="J105" s="75"/>
      <c r="K105" s="75"/>
      <c r="L105" s="183"/>
      <c r="M105" s="181"/>
      <c r="N105" s="181"/>
      <c r="O105" s="181" t="s">
        <v>145</v>
      </c>
      <c r="P105" s="174" t="s">
        <v>213</v>
      </c>
      <c r="R105" s="17"/>
    </row>
    <row r="106" spans="1:18" s="6" customFormat="1" ht="12.2" customHeight="1">
      <c r="A106" s="175" t="s">
        <v>46</v>
      </c>
      <c r="B106" s="150"/>
      <c r="C106" s="190"/>
      <c r="D106" s="97"/>
      <c r="E106" s="97"/>
      <c r="F106" s="97"/>
      <c r="G106" s="97"/>
      <c r="H106" s="200"/>
      <c r="I106" s="97"/>
      <c r="J106" s="97"/>
      <c r="K106" s="97"/>
      <c r="L106" s="97"/>
      <c r="M106" s="97"/>
      <c r="N106" s="97"/>
      <c r="O106" s="181"/>
      <c r="P106" s="215" t="s">
        <v>47</v>
      </c>
      <c r="R106" s="17"/>
    </row>
    <row r="107" spans="1:18" s="6" customFormat="1" ht="12.2" customHeight="1">
      <c r="A107" s="175" t="s">
        <v>55</v>
      </c>
      <c r="B107" s="150"/>
      <c r="C107" s="192">
        <v>1950812</v>
      </c>
      <c r="D107" s="75">
        <v>10354</v>
      </c>
      <c r="E107" s="75">
        <v>9665</v>
      </c>
      <c r="F107" s="75">
        <v>9332</v>
      </c>
      <c r="G107" s="75">
        <v>8931</v>
      </c>
      <c r="H107" s="75"/>
      <c r="I107" s="112">
        <v>9264</v>
      </c>
      <c r="J107" s="112">
        <v>10545</v>
      </c>
      <c r="K107" s="112">
        <v>11153.2</v>
      </c>
      <c r="L107" s="112">
        <v>13692.7</v>
      </c>
      <c r="M107" s="211">
        <v>15903.6</v>
      </c>
      <c r="N107" s="211">
        <v>18887.2</v>
      </c>
      <c r="O107" s="181"/>
      <c r="P107" s="215" t="s">
        <v>48</v>
      </c>
      <c r="R107" s="17"/>
    </row>
    <row r="108" spans="1:18" s="6" customFormat="1" ht="12.2" customHeight="1">
      <c r="A108" s="175" t="s">
        <v>49</v>
      </c>
      <c r="B108" s="150"/>
      <c r="C108" s="190"/>
      <c r="D108" s="75">
        <v>4253</v>
      </c>
      <c r="E108" s="75">
        <v>3722</v>
      </c>
      <c r="F108" s="75">
        <v>3216</v>
      </c>
      <c r="G108" s="75">
        <v>4338</v>
      </c>
      <c r="H108" s="75"/>
      <c r="I108" s="112">
        <v>1143</v>
      </c>
      <c r="J108" s="112">
        <v>1180</v>
      </c>
      <c r="K108" s="112">
        <v>1152</v>
      </c>
      <c r="L108" s="112">
        <v>1190.0999999999999</v>
      </c>
      <c r="M108" s="211">
        <v>1267.5999999999999</v>
      </c>
      <c r="N108" s="211">
        <v>1411.2</v>
      </c>
      <c r="O108" s="181"/>
      <c r="P108" s="215" t="s">
        <v>185</v>
      </c>
      <c r="R108" s="17"/>
    </row>
    <row r="109" spans="1:18" s="6" customFormat="1" ht="12.2" customHeight="1">
      <c r="A109" s="178" t="s">
        <v>50</v>
      </c>
      <c r="B109" s="150"/>
      <c r="C109" s="190">
        <v>31736</v>
      </c>
      <c r="D109" s="75">
        <v>895</v>
      </c>
      <c r="E109" s="75">
        <v>1001</v>
      </c>
      <c r="F109" s="75">
        <v>966</v>
      </c>
      <c r="G109" s="75">
        <v>551</v>
      </c>
      <c r="H109" s="75"/>
      <c r="I109" s="112">
        <v>3315</v>
      </c>
      <c r="J109" s="112">
        <v>4013.6</v>
      </c>
      <c r="K109" s="112">
        <v>4326.1000000000004</v>
      </c>
      <c r="L109" s="112">
        <v>4729.3999999999996</v>
      </c>
      <c r="M109" s="224">
        <v>4766</v>
      </c>
      <c r="N109" s="211">
        <v>4387</v>
      </c>
      <c r="O109" s="181"/>
      <c r="P109" s="215" t="s">
        <v>186</v>
      </c>
      <c r="R109" s="17"/>
    </row>
    <row r="110" spans="1:18" s="6" customFormat="1" ht="12.2" customHeight="1">
      <c r="A110" s="178" t="s">
        <v>52</v>
      </c>
      <c r="B110" s="150"/>
      <c r="C110" s="190" t="s">
        <v>51</v>
      </c>
      <c r="D110" s="159">
        <v>0</v>
      </c>
      <c r="E110" s="159">
        <v>0</v>
      </c>
      <c r="F110" s="159">
        <v>0</v>
      </c>
      <c r="G110" s="75">
        <v>2401</v>
      </c>
      <c r="H110" s="75"/>
      <c r="I110" s="112">
        <v>3277</v>
      </c>
      <c r="J110" s="112">
        <v>2858.1</v>
      </c>
      <c r="K110" s="112">
        <v>2428.4</v>
      </c>
      <c r="L110" s="112">
        <v>2328.1999999999998</v>
      </c>
      <c r="M110" s="224">
        <v>2591.1999999999998</v>
      </c>
      <c r="N110" s="224">
        <v>3170.9</v>
      </c>
      <c r="O110" s="181"/>
      <c r="P110" s="215" t="s">
        <v>184</v>
      </c>
      <c r="R110" s="17"/>
    </row>
    <row r="111" spans="1:18" s="6" customFormat="1" ht="12.2" customHeight="1">
      <c r="A111" s="178" t="s">
        <v>53</v>
      </c>
      <c r="B111" s="150"/>
      <c r="C111" s="190">
        <v>1982548</v>
      </c>
      <c r="D111" s="75">
        <f t="shared" ref="D111:G111" si="16">D107+D109+D110</f>
        <v>11249</v>
      </c>
      <c r="E111" s="75">
        <f t="shared" si="16"/>
        <v>10666</v>
      </c>
      <c r="F111" s="75">
        <f t="shared" si="16"/>
        <v>10298</v>
      </c>
      <c r="G111" s="75">
        <f t="shared" si="16"/>
        <v>11883</v>
      </c>
      <c r="H111" s="75">
        <v>14684</v>
      </c>
      <c r="I111" s="112">
        <f>I107+I109+I110</f>
        <v>15856</v>
      </c>
      <c r="J111" s="112">
        <f t="shared" ref="J111:L111" si="17">J107+J109+J110</f>
        <v>17416.7</v>
      </c>
      <c r="K111" s="112">
        <f t="shared" si="17"/>
        <v>17907.7</v>
      </c>
      <c r="L111" s="112">
        <f t="shared" si="17"/>
        <v>20750.3</v>
      </c>
      <c r="M111" s="224">
        <f>M107+M109+M110</f>
        <v>23260.799999999999</v>
      </c>
      <c r="N111" s="224">
        <f>SUM(N107,N109,N110)</f>
        <v>26445.100000000002</v>
      </c>
      <c r="O111" s="181"/>
      <c r="P111" s="215" t="s">
        <v>54</v>
      </c>
      <c r="R111" s="17"/>
    </row>
    <row r="112" spans="1:18" s="6" customFormat="1" ht="16.5" customHeight="1">
      <c r="A112" s="225" t="s">
        <v>298</v>
      </c>
      <c r="B112" s="188" t="s">
        <v>156</v>
      </c>
      <c r="C112" s="181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 t="s">
        <v>157</v>
      </c>
      <c r="P112" s="189" t="s">
        <v>17</v>
      </c>
    </row>
    <row r="113" spans="1:18" s="6" customFormat="1" ht="12.2" customHeight="1">
      <c r="A113" s="175" t="s">
        <v>46</v>
      </c>
      <c r="B113" s="150"/>
      <c r="C113" s="190"/>
      <c r="D113" s="97"/>
      <c r="E113" s="97"/>
      <c r="F113" s="97"/>
      <c r="G113" s="97"/>
      <c r="H113" s="200"/>
      <c r="I113" s="200"/>
      <c r="J113" s="200"/>
      <c r="K113" s="200"/>
      <c r="L113" s="200"/>
      <c r="M113" s="200"/>
      <c r="N113" s="200"/>
      <c r="O113" s="181"/>
      <c r="P113" s="215" t="s">
        <v>47</v>
      </c>
    </row>
    <row r="114" spans="1:18" s="6" customFormat="1" ht="12.2" customHeight="1">
      <c r="A114" s="175" t="s">
        <v>55</v>
      </c>
      <c r="B114" s="150"/>
      <c r="C114" s="192">
        <v>1950812</v>
      </c>
      <c r="D114" s="75">
        <v>49368</v>
      </c>
      <c r="E114" s="75">
        <v>52326</v>
      </c>
      <c r="F114" s="75">
        <v>59953</v>
      </c>
      <c r="G114" s="75">
        <v>74676</v>
      </c>
      <c r="H114" s="75">
        <v>86377</v>
      </c>
      <c r="I114" s="97" t="s">
        <v>61</v>
      </c>
      <c r="J114" s="97" t="s">
        <v>61</v>
      </c>
      <c r="K114" s="97" t="s">
        <v>61</v>
      </c>
      <c r="L114" s="97" t="s">
        <v>61</v>
      </c>
      <c r="M114" s="97" t="s">
        <v>61</v>
      </c>
      <c r="N114" s="97" t="s">
        <v>61</v>
      </c>
      <c r="O114" s="181"/>
      <c r="P114" s="215" t="s">
        <v>48</v>
      </c>
      <c r="R114" s="17"/>
    </row>
    <row r="115" spans="1:18" s="6" customFormat="1" ht="12.2" customHeight="1">
      <c r="A115" s="175" t="s">
        <v>49</v>
      </c>
      <c r="B115" s="150"/>
      <c r="C115" s="190"/>
      <c r="D115" s="97" t="s">
        <v>61</v>
      </c>
      <c r="E115" s="97" t="s">
        <v>61</v>
      </c>
      <c r="F115" s="97" t="s">
        <v>61</v>
      </c>
      <c r="G115" s="97" t="s">
        <v>61</v>
      </c>
      <c r="H115" s="97" t="s">
        <v>61</v>
      </c>
      <c r="I115" s="97" t="s">
        <v>61</v>
      </c>
      <c r="J115" s="97" t="s">
        <v>61</v>
      </c>
      <c r="K115" s="97" t="s">
        <v>61</v>
      </c>
      <c r="L115" s="97" t="s">
        <v>61</v>
      </c>
      <c r="M115" s="97" t="s">
        <v>61</v>
      </c>
      <c r="N115" s="97" t="s">
        <v>61</v>
      </c>
      <c r="O115" s="181"/>
      <c r="P115" s="215" t="s">
        <v>185</v>
      </c>
      <c r="R115" s="17"/>
    </row>
    <row r="116" spans="1:18" s="6" customFormat="1" ht="12.2" customHeight="1">
      <c r="A116" s="178" t="s">
        <v>50</v>
      </c>
      <c r="B116" s="150"/>
      <c r="C116" s="190">
        <v>31736</v>
      </c>
      <c r="D116" s="75">
        <v>17180</v>
      </c>
      <c r="E116" s="75">
        <v>15284</v>
      </c>
      <c r="F116" s="75">
        <v>20175</v>
      </c>
      <c r="G116" s="75">
        <v>22070</v>
      </c>
      <c r="H116" s="75">
        <v>38412</v>
      </c>
      <c r="I116" s="97" t="s">
        <v>61</v>
      </c>
      <c r="J116" s="97" t="s">
        <v>61</v>
      </c>
      <c r="K116" s="97" t="s">
        <v>61</v>
      </c>
      <c r="L116" s="97" t="s">
        <v>61</v>
      </c>
      <c r="M116" s="97" t="s">
        <v>61</v>
      </c>
      <c r="N116" s="97" t="s">
        <v>61</v>
      </c>
      <c r="O116" s="181"/>
      <c r="P116" s="215" t="s">
        <v>186</v>
      </c>
      <c r="R116" s="17"/>
    </row>
    <row r="117" spans="1:18" s="6" customFormat="1" ht="12.2" customHeight="1">
      <c r="A117" s="178" t="s">
        <v>52</v>
      </c>
      <c r="B117" s="150"/>
      <c r="C117" s="190" t="s">
        <v>51</v>
      </c>
      <c r="D117" s="75">
        <v>24885</v>
      </c>
      <c r="E117" s="75">
        <v>28658</v>
      </c>
      <c r="F117" s="75">
        <v>24302</v>
      </c>
      <c r="G117" s="75">
        <v>29231</v>
      </c>
      <c r="H117" s="75">
        <v>34937</v>
      </c>
      <c r="I117" s="97" t="s">
        <v>61</v>
      </c>
      <c r="J117" s="97" t="s">
        <v>61</v>
      </c>
      <c r="K117" s="97" t="s">
        <v>61</v>
      </c>
      <c r="L117" s="97" t="s">
        <v>61</v>
      </c>
      <c r="M117" s="97" t="s">
        <v>61</v>
      </c>
      <c r="N117" s="97" t="s">
        <v>61</v>
      </c>
      <c r="O117" s="181"/>
      <c r="P117" s="215" t="s">
        <v>184</v>
      </c>
      <c r="R117" s="17"/>
    </row>
    <row r="118" spans="1:18" s="6" customFormat="1" ht="12.2" customHeight="1">
      <c r="A118" s="178" t="s">
        <v>53</v>
      </c>
      <c r="B118" s="150"/>
      <c r="C118" s="190">
        <v>1982548</v>
      </c>
      <c r="D118" s="75">
        <f>D114+D116+D117</f>
        <v>91433</v>
      </c>
      <c r="E118" s="75">
        <f>E114+E116+E117</f>
        <v>96268</v>
      </c>
      <c r="F118" s="75">
        <f>F114+F116+F117</f>
        <v>104430</v>
      </c>
      <c r="G118" s="75">
        <f>G114+G116+G117</f>
        <v>125977</v>
      </c>
      <c r="H118" s="75">
        <f>H114+H116+H117</f>
        <v>159726</v>
      </c>
      <c r="I118" s="112">
        <v>275700</v>
      </c>
      <c r="J118" s="112">
        <v>390800</v>
      </c>
      <c r="K118" s="112">
        <v>344000</v>
      </c>
      <c r="L118" s="112">
        <v>298100</v>
      </c>
      <c r="M118" s="97" t="s">
        <v>61</v>
      </c>
      <c r="N118" s="97" t="s">
        <v>61</v>
      </c>
      <c r="O118" s="181"/>
      <c r="P118" s="215" t="s">
        <v>54</v>
      </c>
      <c r="R118" s="17"/>
    </row>
    <row r="119" spans="1:18" s="6" customFormat="1" ht="15.75" customHeight="1">
      <c r="A119" s="165" t="s">
        <v>103</v>
      </c>
      <c r="B119" s="188" t="s">
        <v>151</v>
      </c>
      <c r="C119" s="19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 t="s">
        <v>152</v>
      </c>
      <c r="P119" s="189" t="s">
        <v>115</v>
      </c>
    </row>
    <row r="120" spans="1:18" s="6" customFormat="1" ht="12.2" customHeight="1">
      <c r="A120" s="175" t="s">
        <v>46</v>
      </c>
      <c r="B120" s="150"/>
      <c r="C120" s="190"/>
      <c r="D120" s="97"/>
      <c r="E120" s="97"/>
      <c r="F120" s="97"/>
      <c r="G120" s="97"/>
      <c r="H120" s="200"/>
      <c r="I120" s="200"/>
      <c r="J120" s="200"/>
      <c r="K120" s="200"/>
      <c r="L120" s="200"/>
      <c r="M120" s="200"/>
      <c r="N120" s="200"/>
      <c r="O120" s="181"/>
      <c r="P120" s="215" t="s">
        <v>47</v>
      </c>
    </row>
    <row r="121" spans="1:18" s="6" customFormat="1" ht="12.2" customHeight="1">
      <c r="A121" s="175" t="s">
        <v>55</v>
      </c>
      <c r="B121" s="150"/>
      <c r="C121" s="192">
        <v>1950812</v>
      </c>
      <c r="D121" s="75">
        <v>505570</v>
      </c>
      <c r="E121" s="75">
        <v>599600</v>
      </c>
      <c r="F121" s="75">
        <v>853646</v>
      </c>
      <c r="G121" s="75">
        <v>1062090</v>
      </c>
      <c r="H121" s="75">
        <v>1352490</v>
      </c>
      <c r="I121" s="75">
        <v>1866499</v>
      </c>
      <c r="J121" s="75">
        <v>1478147</v>
      </c>
      <c r="K121" s="75">
        <v>1750121</v>
      </c>
      <c r="L121" s="75">
        <v>1890640</v>
      </c>
      <c r="M121" s="75">
        <v>2462927</v>
      </c>
      <c r="N121" s="75">
        <v>2470055</v>
      </c>
      <c r="O121" s="181"/>
      <c r="P121" s="215" t="s">
        <v>48</v>
      </c>
      <c r="R121" s="17"/>
    </row>
    <row r="122" spans="1:18" s="6" customFormat="1" ht="12.2" customHeight="1">
      <c r="A122" s="175" t="s">
        <v>49</v>
      </c>
      <c r="B122" s="150"/>
      <c r="C122" s="190"/>
      <c r="D122" s="75">
        <v>37959</v>
      </c>
      <c r="E122" s="75">
        <v>53976</v>
      </c>
      <c r="F122" s="75">
        <v>69072</v>
      </c>
      <c r="G122" s="75">
        <v>86929</v>
      </c>
      <c r="H122" s="75">
        <v>97385</v>
      </c>
      <c r="I122" s="75">
        <v>125916</v>
      </c>
      <c r="J122" s="75">
        <v>124608</v>
      </c>
      <c r="K122" s="75">
        <v>159917</v>
      </c>
      <c r="L122" s="75">
        <v>230207</v>
      </c>
      <c r="M122" s="75">
        <v>412238</v>
      </c>
      <c r="N122" s="75">
        <v>472671</v>
      </c>
      <c r="O122" s="181"/>
      <c r="P122" s="215" t="s">
        <v>185</v>
      </c>
      <c r="R122" s="17"/>
    </row>
    <row r="123" spans="1:18" s="6" customFormat="1" ht="12.2" customHeight="1">
      <c r="A123" s="178" t="s">
        <v>50</v>
      </c>
      <c r="B123" s="150"/>
      <c r="C123" s="190">
        <v>31736</v>
      </c>
      <c r="D123" s="75">
        <v>198311</v>
      </c>
      <c r="E123" s="75">
        <v>210164</v>
      </c>
      <c r="F123" s="75">
        <v>252634</v>
      </c>
      <c r="G123" s="75">
        <v>274015</v>
      </c>
      <c r="H123" s="75">
        <v>309976</v>
      </c>
      <c r="I123" s="75">
        <v>300420</v>
      </c>
      <c r="J123" s="75">
        <v>269773</v>
      </c>
      <c r="K123" s="75">
        <v>275122</v>
      </c>
      <c r="L123" s="75">
        <v>148244</v>
      </c>
      <c r="M123" s="75">
        <v>203080</v>
      </c>
      <c r="N123" s="75">
        <v>198229</v>
      </c>
      <c r="O123" s="181"/>
      <c r="P123" s="215" t="s">
        <v>186</v>
      </c>
      <c r="R123" s="17"/>
    </row>
    <row r="124" spans="1:18" s="6" customFormat="1" ht="12.2" customHeight="1">
      <c r="A124" s="178" t="s">
        <v>52</v>
      </c>
      <c r="B124" s="150"/>
      <c r="C124" s="190" t="s">
        <v>51</v>
      </c>
      <c r="D124" s="159">
        <v>0</v>
      </c>
      <c r="E124" s="159">
        <v>0</v>
      </c>
      <c r="F124" s="159">
        <v>0</v>
      </c>
      <c r="G124" s="159">
        <v>0</v>
      </c>
      <c r="H124" s="75">
        <v>75768</v>
      </c>
      <c r="I124" s="75">
        <v>59349</v>
      </c>
      <c r="J124" s="75">
        <v>75933</v>
      </c>
      <c r="K124" s="75">
        <v>61031</v>
      </c>
      <c r="L124" s="75">
        <v>17811</v>
      </c>
      <c r="M124" s="75">
        <v>109504</v>
      </c>
      <c r="N124" s="75">
        <v>44287</v>
      </c>
      <c r="O124" s="181"/>
      <c r="P124" s="215" t="s">
        <v>184</v>
      </c>
      <c r="R124" s="91"/>
    </row>
    <row r="125" spans="1:18" s="6" customFormat="1" ht="14.25" customHeight="1" thickBot="1">
      <c r="A125" s="226" t="s">
        <v>53</v>
      </c>
      <c r="B125" s="202"/>
      <c r="C125" s="227">
        <v>1982548</v>
      </c>
      <c r="D125" s="76">
        <f t="shared" ref="D125:M125" si="18">D121+D123+D124</f>
        <v>703881</v>
      </c>
      <c r="E125" s="76">
        <f t="shared" si="18"/>
        <v>809764</v>
      </c>
      <c r="F125" s="76">
        <f t="shared" si="18"/>
        <v>1106280</v>
      </c>
      <c r="G125" s="76">
        <f t="shared" si="18"/>
        <v>1336105</v>
      </c>
      <c r="H125" s="76">
        <f t="shared" si="18"/>
        <v>1738234</v>
      </c>
      <c r="I125" s="76">
        <f t="shared" si="18"/>
        <v>2226268</v>
      </c>
      <c r="J125" s="76">
        <f t="shared" si="18"/>
        <v>1823853</v>
      </c>
      <c r="K125" s="76">
        <f t="shared" si="18"/>
        <v>2086274</v>
      </c>
      <c r="L125" s="76">
        <f t="shared" si="18"/>
        <v>2056695</v>
      </c>
      <c r="M125" s="76">
        <f t="shared" si="18"/>
        <v>2775511</v>
      </c>
      <c r="N125" s="76">
        <v>2712571</v>
      </c>
      <c r="O125" s="228"/>
      <c r="P125" s="229" t="s">
        <v>54</v>
      </c>
      <c r="R125" s="17"/>
    </row>
    <row r="126" spans="1:18" ht="16.5" customHeight="1">
      <c r="A126" s="205" t="s">
        <v>203</v>
      </c>
      <c r="B126" s="205"/>
      <c r="C126" s="205"/>
      <c r="D126" s="205"/>
      <c r="E126" s="205"/>
      <c r="F126" s="205"/>
      <c r="G126" s="205"/>
      <c r="H126" s="205"/>
      <c r="I126" s="206"/>
      <c r="J126" s="205"/>
      <c r="K126" s="205"/>
      <c r="L126" s="205"/>
      <c r="M126" s="205"/>
      <c r="N126" s="205"/>
      <c r="O126" s="205"/>
      <c r="P126" s="207" t="s">
        <v>202</v>
      </c>
    </row>
    <row r="127" spans="1:18" ht="12.75" customHeight="1">
      <c r="A127" s="205" t="s">
        <v>299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10" t="s">
        <v>300</v>
      </c>
    </row>
    <row r="128" spans="1:18" ht="12.75" customHeight="1">
      <c r="A128" s="313" t="s">
        <v>295</v>
      </c>
      <c r="B128" s="313"/>
      <c r="C128" s="313"/>
      <c r="D128" s="313"/>
      <c r="E128" s="313"/>
      <c r="F128" s="313"/>
      <c r="G128" s="313"/>
      <c r="H128" s="313"/>
      <c r="I128" s="212"/>
      <c r="J128" s="212"/>
      <c r="K128" s="212"/>
      <c r="L128" s="212"/>
      <c r="M128" s="212"/>
      <c r="N128" s="212"/>
      <c r="O128" s="213"/>
      <c r="P128" s="210" t="s">
        <v>296</v>
      </c>
    </row>
    <row r="129" spans="1:16">
      <c r="A129" s="205" t="s">
        <v>188</v>
      </c>
      <c r="B129" s="214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3"/>
      <c r="P129" s="210" t="s">
        <v>187</v>
      </c>
    </row>
    <row r="130" spans="1:16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9"/>
      <c r="P130" s="11"/>
    </row>
    <row r="131" spans="1:16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9"/>
      <c r="P131" s="11"/>
    </row>
    <row r="132" spans="1:16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/>
      <c r="P132" s="11"/>
    </row>
    <row r="133" spans="1:16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9"/>
      <c r="P133" s="11"/>
    </row>
    <row r="134" spans="1:16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9"/>
      <c r="P134" s="11"/>
    </row>
    <row r="135" spans="1:16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9"/>
      <c r="P135" s="11"/>
    </row>
    <row r="136" spans="1:16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"/>
      <c r="P136" s="11"/>
    </row>
    <row r="137" spans="1:16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9"/>
      <c r="P137" s="10"/>
    </row>
    <row r="138" spans="1:16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  <c r="P138" s="11"/>
    </row>
    <row r="139" spans="1:16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9"/>
      <c r="P139" s="11"/>
    </row>
    <row r="140" spans="1:16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/>
      <c r="P140" s="11"/>
    </row>
    <row r="141" spans="1:16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9"/>
      <c r="P141" s="11"/>
    </row>
    <row r="142" spans="1:16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9"/>
      <c r="P142" s="11"/>
    </row>
    <row r="143" spans="1:16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9"/>
      <c r="P143" s="11"/>
    </row>
    <row r="144" spans="1:16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"/>
      <c r="P144" s="11"/>
    </row>
    <row r="145" spans="3:16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9"/>
      <c r="P145" s="11"/>
    </row>
    <row r="146" spans="3:16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9"/>
      <c r="P146" s="11"/>
    </row>
    <row r="147" spans="3:16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11"/>
    </row>
    <row r="148" spans="3:16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9"/>
      <c r="P148" s="11"/>
    </row>
    <row r="149" spans="3:16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9"/>
      <c r="P149" s="11"/>
    </row>
    <row r="150" spans="3:16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"/>
      <c r="P150" s="11"/>
    </row>
    <row r="151" spans="3:16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9"/>
      <c r="P151" s="10"/>
    </row>
    <row r="152" spans="3:16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"/>
      <c r="P152" s="11"/>
    </row>
    <row r="153" spans="3:16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9"/>
      <c r="P153" s="11"/>
    </row>
    <row r="154" spans="3:16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9"/>
      <c r="P154" s="11"/>
    </row>
    <row r="155" spans="3:16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9"/>
      <c r="P155" s="11"/>
    </row>
    <row r="156" spans="3:16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9"/>
      <c r="P156" s="11"/>
    </row>
    <row r="157" spans="3:16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9"/>
      <c r="P157" s="11"/>
    </row>
    <row r="158" spans="3:16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9"/>
      <c r="P158" s="11"/>
    </row>
    <row r="159" spans="3:16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9"/>
      <c r="P159" s="11"/>
    </row>
    <row r="160" spans="3:16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9"/>
      <c r="P160" s="11"/>
    </row>
    <row r="161" spans="3:16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9"/>
      <c r="P161" s="11"/>
    </row>
    <row r="162" spans="3:16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9"/>
      <c r="P162" s="11"/>
    </row>
    <row r="163" spans="3:16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9"/>
      <c r="P163" s="11"/>
    </row>
    <row r="164" spans="3:16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9"/>
      <c r="P164" s="11"/>
    </row>
    <row r="165" spans="3:16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9"/>
      <c r="P165" s="11"/>
    </row>
    <row r="166" spans="3:16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9"/>
      <c r="P166" s="11"/>
    </row>
    <row r="167" spans="3:16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9"/>
      <c r="P167" s="11"/>
    </row>
    <row r="168" spans="3:16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11"/>
    </row>
    <row r="169" spans="3:16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9"/>
      <c r="P169" s="11"/>
    </row>
    <row r="170" spans="3:16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9"/>
      <c r="P170" s="11"/>
    </row>
    <row r="171" spans="3:16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9"/>
      <c r="P171" s="11"/>
    </row>
    <row r="172" spans="3:16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9"/>
      <c r="P172" s="11"/>
    </row>
    <row r="173" spans="3:16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9"/>
      <c r="P173" s="10"/>
    </row>
    <row r="174" spans="3:16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9"/>
      <c r="P174" s="10"/>
    </row>
    <row r="175" spans="3:16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9"/>
      <c r="P175" s="11"/>
    </row>
    <row r="176" spans="3:16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9"/>
      <c r="P176" s="10"/>
    </row>
    <row r="177" spans="3:16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10"/>
    </row>
    <row r="178" spans="3:16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10"/>
    </row>
    <row r="179" spans="3:16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9"/>
      <c r="P179" s="11"/>
    </row>
    <row r="180" spans="3:16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9"/>
      <c r="P180" s="11"/>
    </row>
    <row r="181" spans="3:16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9"/>
      <c r="P181" s="11"/>
    </row>
    <row r="182" spans="3:16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9"/>
      <c r="P182" s="11"/>
    </row>
    <row r="183" spans="3:16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9"/>
      <c r="P183" s="11"/>
    </row>
    <row r="184" spans="3:16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11"/>
    </row>
    <row r="185" spans="3:16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9"/>
      <c r="P185" s="11"/>
    </row>
    <row r="186" spans="3:16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9"/>
      <c r="P186" s="11"/>
    </row>
    <row r="187" spans="3:16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11"/>
    </row>
    <row r="188" spans="3:16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9"/>
      <c r="P188" s="11"/>
    </row>
    <row r="189" spans="3:16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9"/>
      <c r="P189" s="11"/>
    </row>
    <row r="190" spans="3:16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9"/>
      <c r="P190" s="11"/>
    </row>
    <row r="191" spans="3:16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9"/>
      <c r="P191" s="11"/>
    </row>
    <row r="192" spans="3:16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9"/>
      <c r="P192" s="11"/>
    </row>
    <row r="193" spans="3:16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9"/>
      <c r="P193" s="10"/>
    </row>
    <row r="194" spans="3:16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9"/>
      <c r="P194" s="11"/>
    </row>
    <row r="195" spans="3:16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9"/>
      <c r="P195" s="12"/>
    </row>
    <row r="196" spans="3:1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/>
      <c r="P196" s="12"/>
    </row>
    <row r="197" spans="3:16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9"/>
      <c r="P197" s="12"/>
    </row>
    <row r="198" spans="3:16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9"/>
      <c r="P198" s="12"/>
    </row>
    <row r="199" spans="3:16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9"/>
      <c r="P199" s="13"/>
    </row>
    <row r="200" spans="3:16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9"/>
      <c r="P200" s="13"/>
    </row>
    <row r="201" spans="3:16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9"/>
      <c r="P201" s="13"/>
    </row>
    <row r="202" spans="3:16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9"/>
      <c r="P202" s="13"/>
    </row>
    <row r="203" spans="3:16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9"/>
      <c r="P203" s="13"/>
    </row>
    <row r="204" spans="3:16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9"/>
      <c r="P204" s="13"/>
    </row>
    <row r="205" spans="3:16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9"/>
      <c r="P205" s="13"/>
    </row>
    <row r="206" spans="3:1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9"/>
      <c r="P206" s="13"/>
    </row>
    <row r="207" spans="3:16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9"/>
      <c r="P207" s="13"/>
    </row>
    <row r="208" spans="3:16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9"/>
      <c r="P208" s="13"/>
    </row>
    <row r="209" spans="3:16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9"/>
      <c r="P209" s="13"/>
    </row>
    <row r="210" spans="3:16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9"/>
      <c r="P210" s="13"/>
    </row>
    <row r="211" spans="3:16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9"/>
      <c r="P211" s="13"/>
    </row>
    <row r="212" spans="3:16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/>
      <c r="P212" s="13"/>
    </row>
    <row r="213" spans="3:16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9"/>
      <c r="P213" s="13"/>
    </row>
    <row r="214" spans="3:16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9"/>
      <c r="P214" s="13"/>
    </row>
    <row r="215" spans="3:16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9"/>
      <c r="P215" s="13"/>
    </row>
    <row r="216" spans="3: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9"/>
      <c r="P216" s="13"/>
    </row>
    <row r="217" spans="3:16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9"/>
      <c r="P217" s="13"/>
    </row>
    <row r="218" spans="3:16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9"/>
      <c r="P218" s="13"/>
    </row>
    <row r="219" spans="3:16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9"/>
      <c r="P219" s="13"/>
    </row>
    <row r="220" spans="3:16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9"/>
      <c r="P220" s="13"/>
    </row>
    <row r="221" spans="3:16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9"/>
      <c r="P221" s="13"/>
    </row>
    <row r="222" spans="3:16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13"/>
    </row>
    <row r="223" spans="3:16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9"/>
      <c r="P223" s="13"/>
    </row>
    <row r="224" spans="3:16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9"/>
      <c r="P224" s="13"/>
    </row>
    <row r="225" spans="3:16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9"/>
      <c r="P225" s="13"/>
    </row>
    <row r="226" spans="3:1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9"/>
      <c r="P226" s="13"/>
    </row>
    <row r="227" spans="3:16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9"/>
      <c r="P227" s="13"/>
    </row>
    <row r="228" spans="3:16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9"/>
      <c r="P228" s="13"/>
    </row>
    <row r="229" spans="3:16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9"/>
      <c r="P229" s="13"/>
    </row>
    <row r="230" spans="3:16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9"/>
      <c r="P230" s="13"/>
    </row>
    <row r="231" spans="3:16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9"/>
      <c r="P231" s="13"/>
    </row>
    <row r="232" spans="3:16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9"/>
      <c r="P232" s="13"/>
    </row>
    <row r="233" spans="3:16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9"/>
      <c r="P233" s="13"/>
    </row>
    <row r="234" spans="3:16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9"/>
      <c r="P234" s="13"/>
    </row>
    <row r="235" spans="3:16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9"/>
      <c r="P235" s="13"/>
    </row>
    <row r="236" spans="3:1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9"/>
      <c r="P236" s="13"/>
    </row>
    <row r="237" spans="3:16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9"/>
      <c r="P237" s="13"/>
    </row>
    <row r="238" spans="3:16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9"/>
      <c r="P238" s="13"/>
    </row>
    <row r="239" spans="3:16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9"/>
      <c r="P239" s="13"/>
    </row>
    <row r="240" spans="3:16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/>
      <c r="P240" s="13"/>
    </row>
    <row r="241" spans="3:16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9"/>
      <c r="P241" s="13"/>
    </row>
    <row r="242" spans="3:16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9"/>
      <c r="P242" s="13"/>
    </row>
    <row r="243" spans="3:16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9"/>
      <c r="P243" s="13"/>
    </row>
    <row r="244" spans="3:16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9"/>
      <c r="P244" s="13"/>
    </row>
    <row r="245" spans="3:16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9"/>
      <c r="P245" s="13"/>
    </row>
    <row r="246" spans="3:1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9"/>
      <c r="P246" s="13"/>
    </row>
    <row r="247" spans="3:16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9"/>
      <c r="P247" s="13"/>
    </row>
    <row r="248" spans="3:16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9"/>
      <c r="P248" s="13"/>
    </row>
    <row r="249" spans="3:16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9"/>
      <c r="P249" s="13"/>
    </row>
    <row r="250" spans="3:16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9"/>
      <c r="P250" s="13"/>
    </row>
    <row r="251" spans="3:16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9"/>
      <c r="P251" s="13"/>
    </row>
    <row r="252" spans="3:16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9"/>
      <c r="P252" s="13"/>
    </row>
    <row r="253" spans="3:16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9"/>
      <c r="P253" s="13"/>
    </row>
    <row r="254" spans="3:16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9"/>
      <c r="P254" s="13"/>
    </row>
    <row r="255" spans="3:16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9"/>
      <c r="P255" s="13"/>
    </row>
    <row r="256" spans="3:1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9"/>
      <c r="P256" s="13"/>
    </row>
    <row r="257" spans="3:16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9"/>
      <c r="P257" s="13"/>
    </row>
    <row r="258" spans="3:16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9"/>
      <c r="P258" s="13"/>
    </row>
    <row r="259" spans="3:16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9"/>
      <c r="P259" s="13"/>
    </row>
    <row r="260" spans="3:16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9"/>
      <c r="P260" s="13"/>
    </row>
    <row r="261" spans="3:16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9"/>
      <c r="P261" s="13"/>
    </row>
    <row r="262" spans="3:16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9"/>
      <c r="P262" s="13"/>
    </row>
    <row r="263" spans="3:16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9"/>
      <c r="P263" s="13"/>
    </row>
    <row r="264" spans="3:16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9"/>
      <c r="P264" s="13"/>
    </row>
    <row r="265" spans="3:16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9"/>
      <c r="P265" s="13"/>
    </row>
    <row r="266" spans="3:1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9"/>
      <c r="P266" s="13"/>
    </row>
    <row r="267" spans="3:16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9"/>
      <c r="P267" s="13"/>
    </row>
    <row r="268" spans="3:16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9"/>
      <c r="P268" s="13"/>
    </row>
    <row r="269" spans="3:16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9"/>
      <c r="P269" s="13"/>
    </row>
    <row r="270" spans="3:16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9"/>
      <c r="P270" s="13"/>
    </row>
    <row r="271" spans="3:16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9"/>
      <c r="P271" s="13"/>
    </row>
    <row r="272" spans="3:16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9"/>
      <c r="P272" s="13"/>
    </row>
    <row r="273" spans="3:16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9"/>
      <c r="P273" s="13"/>
    </row>
    <row r="274" spans="3:16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9"/>
      <c r="P274" s="13"/>
    </row>
    <row r="275" spans="3:16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9"/>
      <c r="P275" s="13"/>
    </row>
    <row r="276" spans="3:1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13"/>
    </row>
    <row r="277" spans="3:16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9"/>
      <c r="P277" s="13"/>
    </row>
    <row r="278" spans="3:16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9"/>
      <c r="P278" s="13"/>
    </row>
    <row r="279" spans="3:16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9"/>
      <c r="P279" s="13"/>
    </row>
    <row r="280" spans="3:16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9"/>
      <c r="P280" s="13"/>
    </row>
    <row r="281" spans="3:16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9"/>
      <c r="P281" s="13"/>
    </row>
    <row r="282" spans="3:16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9"/>
      <c r="P282" s="13"/>
    </row>
    <row r="283" spans="3:16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9"/>
      <c r="P283" s="13"/>
    </row>
    <row r="284" spans="3:16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9"/>
      <c r="P284" s="13"/>
    </row>
    <row r="285" spans="3:16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9"/>
      <c r="P285" s="13"/>
    </row>
    <row r="286" spans="3:1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9"/>
      <c r="P286" s="13"/>
    </row>
    <row r="287" spans="3:16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9"/>
      <c r="P287" s="13"/>
    </row>
    <row r="288" spans="3:16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9"/>
      <c r="P288" s="13"/>
    </row>
    <row r="289" spans="3:16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9"/>
      <c r="P289" s="13"/>
    </row>
    <row r="290" spans="3:16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9"/>
      <c r="P290" s="13"/>
    </row>
    <row r="291" spans="3:16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9"/>
      <c r="P291" s="13"/>
    </row>
    <row r="292" spans="3:16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9"/>
      <c r="P292" s="13"/>
    </row>
    <row r="293" spans="3:16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9"/>
      <c r="P293" s="13"/>
    </row>
    <row r="294" spans="3:16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9"/>
      <c r="P294" s="13"/>
    </row>
    <row r="295" spans="3:16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9"/>
      <c r="P295" s="13"/>
    </row>
    <row r="296" spans="3:1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9"/>
      <c r="P296" s="13"/>
    </row>
    <row r="297" spans="3:16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9"/>
      <c r="P297" s="13"/>
    </row>
    <row r="298" spans="3:16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9"/>
      <c r="P298" s="13"/>
    </row>
    <row r="299" spans="3:16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9"/>
      <c r="P299" s="13"/>
    </row>
    <row r="300" spans="3:16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9"/>
      <c r="P300" s="13"/>
    </row>
    <row r="301" spans="3:16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9"/>
      <c r="P301" s="13"/>
    </row>
    <row r="302" spans="3:16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9"/>
      <c r="P302" s="13"/>
    </row>
    <row r="303" spans="3:16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9"/>
      <c r="P303" s="13"/>
    </row>
    <row r="304" spans="3:16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9"/>
      <c r="P304" s="13"/>
    </row>
    <row r="305" spans="3:16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9"/>
      <c r="P305" s="13"/>
    </row>
    <row r="306" spans="3:1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9"/>
      <c r="P306" s="13"/>
    </row>
    <row r="307" spans="3:16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9"/>
      <c r="P307" s="13"/>
    </row>
    <row r="308" spans="3:16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9"/>
      <c r="P308" s="13"/>
    </row>
    <row r="309" spans="3:16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9"/>
      <c r="P309" s="13"/>
    </row>
    <row r="310" spans="3:16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9"/>
      <c r="P310" s="13"/>
    </row>
    <row r="311" spans="3:16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9"/>
      <c r="P311" s="13"/>
    </row>
    <row r="312" spans="3:16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9"/>
      <c r="P312" s="13"/>
    </row>
    <row r="313" spans="3:16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9"/>
      <c r="P313" s="13"/>
    </row>
    <row r="314" spans="3:16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9"/>
      <c r="P314" s="13"/>
    </row>
    <row r="315" spans="3:16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9"/>
      <c r="P315" s="13"/>
    </row>
    <row r="316" spans="3: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9"/>
      <c r="P316" s="9"/>
    </row>
    <row r="317" spans="3:16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9"/>
      <c r="P317" s="9"/>
    </row>
    <row r="318" spans="3:16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9"/>
      <c r="P318" s="9"/>
    </row>
    <row r="319" spans="3:16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9"/>
      <c r="P319" s="9"/>
    </row>
    <row r="320" spans="3:16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9"/>
      <c r="P320" s="9"/>
    </row>
    <row r="321" spans="3:16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9"/>
      <c r="P321" s="9"/>
    </row>
    <row r="322" spans="3:16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9"/>
      <c r="P322" s="9"/>
    </row>
    <row r="323" spans="3:16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9"/>
      <c r="P323" s="9"/>
    </row>
    <row r="324" spans="3:16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9"/>
      <c r="P324" s="9"/>
    </row>
    <row r="325" spans="3:16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9"/>
      <c r="P325" s="9"/>
    </row>
    <row r="326" spans="3:1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9"/>
      <c r="P326" s="9"/>
    </row>
    <row r="327" spans="3:16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9"/>
      <c r="P327" s="9"/>
    </row>
    <row r="328" spans="3:16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9"/>
      <c r="P328" s="9"/>
    </row>
    <row r="329" spans="3:16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9"/>
      <c r="P329" s="9"/>
    </row>
    <row r="330" spans="3:16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9"/>
    </row>
    <row r="331" spans="3:16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9"/>
      <c r="P331" s="9"/>
    </row>
    <row r="332" spans="3:16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9"/>
      <c r="P332" s="9"/>
    </row>
    <row r="333" spans="3:16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9"/>
      <c r="P333" s="9"/>
    </row>
    <row r="334" spans="3:16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9"/>
      <c r="P334" s="9"/>
    </row>
    <row r="335" spans="3:16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9"/>
      <c r="P335" s="9"/>
    </row>
    <row r="336" spans="3:1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9"/>
      <c r="P336" s="9"/>
    </row>
    <row r="337" spans="3:16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9"/>
      <c r="P337" s="9"/>
    </row>
    <row r="338" spans="3:16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9"/>
      <c r="P338" s="9"/>
    </row>
    <row r="339" spans="3:16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9"/>
      <c r="P339" s="9"/>
    </row>
    <row r="340" spans="3:16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9"/>
      <c r="P340" s="9"/>
    </row>
    <row r="341" spans="3:16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9"/>
      <c r="P341" s="9"/>
    </row>
    <row r="342" spans="3:16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9"/>
      <c r="P342" s="9"/>
    </row>
    <row r="343" spans="3:16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9"/>
      <c r="P343" s="9"/>
    </row>
    <row r="344" spans="3:16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9"/>
      <c r="P344" s="9"/>
    </row>
    <row r="345" spans="3:16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9"/>
      <c r="P345" s="9"/>
    </row>
    <row r="346" spans="3:1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9"/>
      <c r="P346" s="9"/>
    </row>
    <row r="347" spans="3:16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9"/>
      <c r="P347" s="9"/>
    </row>
    <row r="348" spans="3:16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9"/>
      <c r="P348" s="9"/>
    </row>
    <row r="349" spans="3:16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9"/>
      <c r="P349" s="9"/>
    </row>
    <row r="350" spans="3:16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9"/>
      <c r="P350" s="9"/>
    </row>
    <row r="351" spans="3:16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9"/>
      <c r="P351" s="9"/>
    </row>
    <row r="352" spans="3:16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9"/>
      <c r="P352" s="9"/>
    </row>
    <row r="353" spans="3:16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9"/>
      <c r="P353" s="9"/>
    </row>
    <row r="354" spans="3:16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9"/>
      <c r="P354" s="9"/>
    </row>
    <row r="355" spans="3:16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9"/>
      <c r="P355" s="9"/>
    </row>
    <row r="356" spans="3:1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9"/>
      <c r="P356" s="9"/>
    </row>
    <row r="357" spans="3:16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9"/>
      <c r="P357" s="9"/>
    </row>
    <row r="358" spans="3:16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9"/>
      <c r="P358" s="9"/>
    </row>
    <row r="359" spans="3:16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9"/>
      <c r="P359" s="9"/>
    </row>
    <row r="360" spans="3:16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9"/>
      <c r="P360" s="9"/>
    </row>
    <row r="361" spans="3:16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9"/>
      <c r="P361" s="9"/>
    </row>
    <row r="362" spans="3:16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9"/>
      <c r="P362" s="9"/>
    </row>
    <row r="363" spans="3:16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9"/>
      <c r="P363" s="9"/>
    </row>
    <row r="364" spans="3:16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9"/>
      <c r="P364" s="9"/>
    </row>
    <row r="365" spans="3:16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9"/>
      <c r="P365" s="9"/>
    </row>
    <row r="366" spans="3:1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9"/>
      <c r="P366" s="9"/>
    </row>
    <row r="367" spans="3:16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9"/>
      <c r="P367" s="9"/>
    </row>
    <row r="368" spans="3:16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9"/>
      <c r="P368" s="9"/>
    </row>
    <row r="369" spans="3:16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9"/>
      <c r="P369" s="9"/>
    </row>
    <row r="370" spans="3:16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9"/>
      <c r="P370" s="9"/>
    </row>
    <row r="371" spans="3:16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9"/>
      <c r="P371" s="9"/>
    </row>
    <row r="372" spans="3:16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9"/>
      <c r="P372" s="9"/>
    </row>
    <row r="373" spans="3:16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9"/>
      <c r="P373" s="9"/>
    </row>
    <row r="374" spans="3:16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9"/>
      <c r="P374" s="9"/>
    </row>
    <row r="375" spans="3:16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9"/>
      <c r="P375" s="9"/>
    </row>
    <row r="376" spans="3:1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9"/>
      <c r="P376" s="9"/>
    </row>
    <row r="377" spans="3:16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9"/>
      <c r="P377" s="9"/>
    </row>
    <row r="378" spans="3:16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9"/>
      <c r="P378" s="9"/>
    </row>
    <row r="379" spans="3:16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9"/>
      <c r="P379" s="9"/>
    </row>
    <row r="380" spans="3:16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9"/>
      <c r="P380" s="9"/>
    </row>
    <row r="381" spans="3:16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9"/>
      <c r="P381" s="9"/>
    </row>
    <row r="382" spans="3:16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9"/>
      <c r="P382" s="9"/>
    </row>
    <row r="383" spans="3:16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9"/>
      <c r="P383" s="9"/>
    </row>
    <row r="384" spans="3:16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9"/>
    </row>
    <row r="385" spans="3:16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9"/>
      <c r="P385" s="9"/>
    </row>
    <row r="386" spans="3:1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9"/>
      <c r="P386" s="9"/>
    </row>
    <row r="387" spans="3:16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9"/>
      <c r="P387" s="9"/>
    </row>
    <row r="388" spans="3:16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9"/>
      <c r="P388" s="9"/>
    </row>
    <row r="389" spans="3:16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9"/>
      <c r="P389" s="9"/>
    </row>
    <row r="390" spans="3:16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9"/>
      <c r="P390" s="9"/>
    </row>
    <row r="391" spans="3:16">
      <c r="O391" s="9"/>
      <c r="P391" s="9"/>
    </row>
    <row r="392" spans="3:16">
      <c r="O392" s="9"/>
      <c r="P392" s="9"/>
    </row>
    <row r="393" spans="3:16">
      <c r="O393" s="9"/>
      <c r="P393" s="9"/>
    </row>
    <row r="394" spans="3:16">
      <c r="O394" s="9"/>
      <c r="P394" s="9"/>
    </row>
    <row r="395" spans="3:16">
      <c r="O395" s="9"/>
      <c r="P395" s="9"/>
    </row>
    <row r="396" spans="3:16">
      <c r="O396" s="9"/>
      <c r="P396" s="9"/>
    </row>
    <row r="397" spans="3:16">
      <c r="O397" s="9"/>
      <c r="P397" s="9"/>
    </row>
    <row r="398" spans="3:16">
      <c r="O398" s="9"/>
      <c r="P398" s="9"/>
    </row>
    <row r="399" spans="3:16">
      <c r="O399" s="9"/>
      <c r="P399" s="9"/>
    </row>
    <row r="400" spans="3:16">
      <c r="O400" s="9"/>
      <c r="P400" s="9"/>
    </row>
    <row r="401" spans="15:16">
      <c r="O401" s="9"/>
      <c r="P401" s="9"/>
    </row>
    <row r="402" spans="15:16">
      <c r="O402" s="9"/>
      <c r="P402" s="9"/>
    </row>
    <row r="403" spans="15:16">
      <c r="O403" s="9"/>
      <c r="P403" s="9"/>
    </row>
    <row r="404" spans="15:16">
      <c r="O404" s="9"/>
      <c r="P404" s="9"/>
    </row>
    <row r="405" spans="15:16">
      <c r="O405" s="9"/>
      <c r="P405" s="9"/>
    </row>
    <row r="406" spans="15:16">
      <c r="O406" s="9"/>
      <c r="P406" s="9"/>
    </row>
    <row r="407" spans="15:16">
      <c r="O407" s="9"/>
      <c r="P407" s="9"/>
    </row>
    <row r="408" spans="15:16">
      <c r="O408" s="9"/>
      <c r="P408" s="9"/>
    </row>
    <row r="409" spans="15:16">
      <c r="O409" s="9"/>
      <c r="P409" s="9"/>
    </row>
    <row r="410" spans="15:16">
      <c r="O410" s="9"/>
      <c r="P410" s="9"/>
    </row>
    <row r="411" spans="15:16">
      <c r="O411" s="9"/>
      <c r="P411" s="9"/>
    </row>
    <row r="412" spans="15:16">
      <c r="O412" s="9"/>
      <c r="P412" s="9"/>
    </row>
    <row r="413" spans="15:16">
      <c r="O413" s="9"/>
      <c r="P413" s="9"/>
    </row>
    <row r="414" spans="15:16">
      <c r="O414" s="9"/>
      <c r="P414" s="9"/>
    </row>
    <row r="415" spans="15:16">
      <c r="O415" s="9"/>
      <c r="P415" s="9"/>
    </row>
    <row r="416" spans="15:16">
      <c r="O416" s="9"/>
      <c r="P416" s="9"/>
    </row>
    <row r="417" spans="15:16">
      <c r="O417" s="9"/>
      <c r="P417" s="9"/>
    </row>
    <row r="418" spans="15:16">
      <c r="O418" s="9"/>
      <c r="P418" s="9"/>
    </row>
    <row r="419" spans="15:16">
      <c r="O419" s="9"/>
      <c r="P419" s="9"/>
    </row>
    <row r="420" spans="15:16">
      <c r="O420" s="9"/>
      <c r="P420" s="9"/>
    </row>
    <row r="421" spans="15:16">
      <c r="O421" s="9"/>
      <c r="P421" s="9"/>
    </row>
    <row r="422" spans="15:16">
      <c r="O422" s="9"/>
      <c r="P422" s="9"/>
    </row>
    <row r="423" spans="15:16">
      <c r="O423" s="9"/>
      <c r="P423" s="9"/>
    </row>
    <row r="424" spans="15:16">
      <c r="O424" s="9"/>
      <c r="P424" s="9"/>
    </row>
    <row r="425" spans="15:16">
      <c r="O425" s="9"/>
      <c r="P425" s="9"/>
    </row>
    <row r="426" spans="15:16">
      <c r="O426" s="9"/>
      <c r="P426" s="9"/>
    </row>
    <row r="427" spans="15:16">
      <c r="O427" s="9"/>
      <c r="P427" s="9"/>
    </row>
    <row r="428" spans="15:16">
      <c r="O428" s="9"/>
      <c r="P428" s="9"/>
    </row>
    <row r="429" spans="15:16">
      <c r="O429" s="9"/>
      <c r="P429" s="9"/>
    </row>
    <row r="430" spans="15:16">
      <c r="O430" s="9"/>
      <c r="P430" s="9"/>
    </row>
    <row r="431" spans="15:16">
      <c r="O431" s="9"/>
      <c r="P431" s="9"/>
    </row>
    <row r="432" spans="15:16">
      <c r="O432" s="9"/>
      <c r="P432" s="9"/>
    </row>
    <row r="433" spans="15:16">
      <c r="O433" s="9"/>
      <c r="P433" s="9"/>
    </row>
    <row r="434" spans="15:16">
      <c r="O434" s="9"/>
      <c r="P434" s="9"/>
    </row>
    <row r="435" spans="15:16">
      <c r="O435" s="9"/>
      <c r="P435" s="9"/>
    </row>
    <row r="436" spans="15:16">
      <c r="O436" s="9"/>
      <c r="P436" s="9"/>
    </row>
    <row r="437" spans="15:16">
      <c r="O437" s="9"/>
      <c r="P437" s="9"/>
    </row>
    <row r="438" spans="15:16">
      <c r="O438" s="9"/>
      <c r="P438" s="9"/>
    </row>
    <row r="439" spans="15:16">
      <c r="O439" s="9"/>
      <c r="P439" s="9"/>
    </row>
    <row r="440" spans="15:16">
      <c r="O440" s="9"/>
      <c r="P440" s="9"/>
    </row>
    <row r="441" spans="15:16">
      <c r="O441" s="9"/>
      <c r="P441" s="9"/>
    </row>
    <row r="442" spans="15:16">
      <c r="O442" s="9"/>
      <c r="P442" s="9"/>
    </row>
    <row r="443" spans="15:16">
      <c r="O443" s="9"/>
      <c r="P443" s="9"/>
    </row>
    <row r="444" spans="15:16">
      <c r="O444" s="9"/>
      <c r="P444" s="9"/>
    </row>
    <row r="445" spans="15:16">
      <c r="O445" s="9"/>
      <c r="P445" s="9"/>
    </row>
    <row r="446" spans="15:16">
      <c r="O446" s="9"/>
      <c r="P446" s="9"/>
    </row>
    <row r="447" spans="15:16">
      <c r="O447" s="9"/>
      <c r="P447" s="9"/>
    </row>
    <row r="448" spans="15:16">
      <c r="O448" s="9"/>
      <c r="P448" s="9"/>
    </row>
    <row r="449" spans="15:16">
      <c r="O449" s="9"/>
      <c r="P449" s="9"/>
    </row>
    <row r="450" spans="15:16">
      <c r="O450" s="9"/>
      <c r="P450" s="9"/>
    </row>
    <row r="451" spans="15:16">
      <c r="O451" s="9"/>
      <c r="P451" s="9"/>
    </row>
    <row r="452" spans="15:16">
      <c r="O452" s="9"/>
      <c r="P452" s="9"/>
    </row>
    <row r="453" spans="15:16">
      <c r="O453" s="9"/>
      <c r="P453" s="9"/>
    </row>
    <row r="454" spans="15:16">
      <c r="O454" s="9"/>
      <c r="P454" s="9"/>
    </row>
    <row r="455" spans="15:16">
      <c r="O455" s="9"/>
      <c r="P455" s="9"/>
    </row>
    <row r="456" spans="15:16">
      <c r="O456" s="9"/>
      <c r="P456" s="9"/>
    </row>
    <row r="457" spans="15:16">
      <c r="O457" s="9"/>
      <c r="P457" s="9"/>
    </row>
    <row r="458" spans="15:16">
      <c r="O458" s="9"/>
      <c r="P458" s="9"/>
    </row>
    <row r="459" spans="15:16">
      <c r="O459" s="9"/>
      <c r="P459" s="9"/>
    </row>
    <row r="460" spans="15:16">
      <c r="O460" s="9"/>
      <c r="P460" s="9"/>
    </row>
    <row r="461" spans="15:16">
      <c r="O461" s="9"/>
      <c r="P461" s="9"/>
    </row>
    <row r="462" spans="15:16">
      <c r="O462" s="9"/>
      <c r="P462" s="9"/>
    </row>
    <row r="463" spans="15:16">
      <c r="O463" s="9"/>
      <c r="P463" s="9"/>
    </row>
    <row r="464" spans="15:16">
      <c r="O464" s="9"/>
      <c r="P464" s="9"/>
    </row>
    <row r="465" spans="15:16">
      <c r="O465" s="9"/>
      <c r="P465" s="9"/>
    </row>
    <row r="466" spans="15:16">
      <c r="O466" s="9"/>
      <c r="P466" s="9"/>
    </row>
    <row r="467" spans="15:16">
      <c r="O467" s="9"/>
      <c r="P467" s="9"/>
    </row>
    <row r="468" spans="15:16">
      <c r="O468" s="9"/>
      <c r="P468" s="9"/>
    </row>
    <row r="469" spans="15:16">
      <c r="O469" s="9"/>
      <c r="P469" s="9"/>
    </row>
    <row r="470" spans="15:16">
      <c r="O470" s="9"/>
      <c r="P470" s="9"/>
    </row>
    <row r="471" spans="15:16">
      <c r="O471" s="9"/>
      <c r="P471" s="9"/>
    </row>
    <row r="472" spans="15:16">
      <c r="O472" s="9"/>
      <c r="P472" s="9"/>
    </row>
    <row r="473" spans="15:16">
      <c r="O473" s="9"/>
      <c r="P473" s="9"/>
    </row>
    <row r="474" spans="15:16">
      <c r="O474" s="9"/>
      <c r="P474" s="9"/>
    </row>
    <row r="475" spans="15:16">
      <c r="O475" s="9"/>
      <c r="P475" s="9"/>
    </row>
    <row r="476" spans="15:16">
      <c r="O476" s="9"/>
      <c r="P476" s="9"/>
    </row>
    <row r="477" spans="15:16">
      <c r="O477" s="9"/>
      <c r="P477" s="9"/>
    </row>
    <row r="478" spans="15:16">
      <c r="O478" s="9"/>
      <c r="P478" s="9"/>
    </row>
    <row r="479" spans="15:16">
      <c r="O479" s="9"/>
      <c r="P479" s="9"/>
    </row>
    <row r="480" spans="15:16">
      <c r="O480" s="9"/>
      <c r="P480" s="9"/>
    </row>
    <row r="481" spans="15:16">
      <c r="O481" s="9"/>
      <c r="P481" s="9"/>
    </row>
    <row r="482" spans="15:16">
      <c r="O482" s="9"/>
      <c r="P482" s="9"/>
    </row>
    <row r="483" spans="15:16">
      <c r="O483" s="9"/>
      <c r="P483" s="9"/>
    </row>
    <row r="484" spans="15:16">
      <c r="O484" s="9"/>
      <c r="P484" s="9"/>
    </row>
    <row r="485" spans="15:16">
      <c r="O485" s="9"/>
      <c r="P485" s="9"/>
    </row>
    <row r="486" spans="15:16">
      <c r="O486" s="9"/>
      <c r="P486" s="9"/>
    </row>
    <row r="487" spans="15:16">
      <c r="O487" s="9"/>
      <c r="P487" s="9"/>
    </row>
    <row r="488" spans="15:16">
      <c r="O488" s="9"/>
      <c r="P488" s="9"/>
    </row>
    <row r="489" spans="15:16">
      <c r="O489" s="9"/>
      <c r="P489" s="9"/>
    </row>
    <row r="490" spans="15:16">
      <c r="O490" s="9"/>
      <c r="P490" s="9"/>
    </row>
    <row r="491" spans="15:16">
      <c r="O491" s="9"/>
      <c r="P491" s="9"/>
    </row>
    <row r="492" spans="15:16">
      <c r="O492" s="9"/>
      <c r="P492" s="9"/>
    </row>
    <row r="493" spans="15:16">
      <c r="O493" s="9"/>
      <c r="P493" s="9"/>
    </row>
    <row r="494" spans="15:16">
      <c r="O494" s="9"/>
      <c r="P494" s="9"/>
    </row>
    <row r="495" spans="15:16">
      <c r="O495" s="9"/>
      <c r="P495" s="9"/>
    </row>
    <row r="496" spans="15:16">
      <c r="O496" s="9"/>
      <c r="P496" s="9"/>
    </row>
    <row r="497" spans="15:16">
      <c r="O497" s="9"/>
      <c r="P497" s="9"/>
    </row>
    <row r="498" spans="15:16">
      <c r="O498" s="9"/>
      <c r="P498" s="9"/>
    </row>
    <row r="499" spans="15:16">
      <c r="O499" s="9"/>
      <c r="P499" s="9"/>
    </row>
    <row r="500" spans="15:16">
      <c r="O500" s="9"/>
      <c r="P500" s="9"/>
    </row>
    <row r="501" spans="15:16">
      <c r="O501" s="9"/>
      <c r="P501" s="9"/>
    </row>
    <row r="502" spans="15:16">
      <c r="O502" s="9"/>
      <c r="P502" s="9"/>
    </row>
    <row r="503" spans="15:16">
      <c r="O503" s="9"/>
      <c r="P503" s="9"/>
    </row>
    <row r="504" spans="15:16">
      <c r="O504" s="9"/>
      <c r="P504" s="9"/>
    </row>
    <row r="505" spans="15:16">
      <c r="O505" s="9"/>
      <c r="P505" s="9"/>
    </row>
    <row r="506" spans="15:16">
      <c r="O506" s="9"/>
      <c r="P506" s="9"/>
    </row>
    <row r="507" spans="15:16">
      <c r="O507" s="9"/>
      <c r="P507" s="9"/>
    </row>
    <row r="508" spans="15:16">
      <c r="O508" s="9"/>
      <c r="P508" s="9"/>
    </row>
    <row r="509" spans="15:16">
      <c r="O509" s="9"/>
      <c r="P509" s="9"/>
    </row>
    <row r="510" spans="15:16">
      <c r="O510" s="9"/>
      <c r="P510" s="9"/>
    </row>
    <row r="511" spans="15:16">
      <c r="O511" s="9"/>
      <c r="P511" s="9"/>
    </row>
    <row r="512" spans="15:16">
      <c r="O512" s="9"/>
      <c r="P512" s="9"/>
    </row>
    <row r="513" spans="15:16">
      <c r="O513" s="9"/>
      <c r="P513" s="9"/>
    </row>
    <row r="514" spans="15:16">
      <c r="O514" s="9"/>
      <c r="P514" s="9"/>
    </row>
    <row r="515" spans="15:16">
      <c r="O515" s="9"/>
      <c r="P515" s="9"/>
    </row>
    <row r="516" spans="15:16">
      <c r="O516" s="9"/>
      <c r="P516" s="9"/>
    </row>
    <row r="517" spans="15:16">
      <c r="O517" s="9"/>
      <c r="P517" s="9"/>
    </row>
    <row r="518" spans="15:16">
      <c r="O518" s="9"/>
      <c r="P518" s="9"/>
    </row>
    <row r="519" spans="15:16">
      <c r="O519" s="9"/>
      <c r="P519" s="9"/>
    </row>
    <row r="520" spans="15:16">
      <c r="O520" s="9"/>
      <c r="P520" s="9"/>
    </row>
    <row r="521" spans="15:16">
      <c r="O521" s="9"/>
      <c r="P521" s="9"/>
    </row>
    <row r="522" spans="15:16">
      <c r="O522" s="9"/>
      <c r="P522" s="9"/>
    </row>
    <row r="523" spans="15:16">
      <c r="O523" s="9"/>
      <c r="P523" s="9"/>
    </row>
    <row r="524" spans="15:16">
      <c r="O524" s="9"/>
      <c r="P524" s="9"/>
    </row>
    <row r="525" spans="15:16">
      <c r="O525" s="9"/>
      <c r="P525" s="9"/>
    </row>
    <row r="526" spans="15:16">
      <c r="O526" s="9"/>
      <c r="P526" s="9"/>
    </row>
    <row r="527" spans="15:16">
      <c r="O527" s="9"/>
      <c r="P527" s="9"/>
    </row>
    <row r="528" spans="15:16">
      <c r="O528" s="9"/>
      <c r="P528" s="9"/>
    </row>
    <row r="529" spans="15:16">
      <c r="O529" s="9"/>
      <c r="P529" s="9"/>
    </row>
    <row r="530" spans="15:16">
      <c r="O530" s="9"/>
      <c r="P530" s="9"/>
    </row>
    <row r="531" spans="15:16">
      <c r="O531" s="9"/>
      <c r="P531" s="9"/>
    </row>
    <row r="532" spans="15:16">
      <c r="O532" s="9"/>
      <c r="P532" s="9"/>
    </row>
    <row r="533" spans="15:16">
      <c r="O533" s="9"/>
      <c r="P533" s="9"/>
    </row>
    <row r="534" spans="15:16">
      <c r="O534" s="9"/>
      <c r="P534" s="9"/>
    </row>
    <row r="535" spans="15:16">
      <c r="O535" s="9"/>
      <c r="P535" s="9"/>
    </row>
    <row r="536" spans="15:16">
      <c r="O536" s="9"/>
      <c r="P536" s="9"/>
    </row>
    <row r="537" spans="15:16">
      <c r="O537" s="9"/>
      <c r="P537" s="9"/>
    </row>
    <row r="538" spans="15:16">
      <c r="O538" s="9"/>
      <c r="P538" s="9"/>
    </row>
    <row r="539" spans="15:16">
      <c r="O539" s="9"/>
      <c r="P539" s="9"/>
    </row>
    <row r="540" spans="15:16">
      <c r="O540" s="9"/>
      <c r="P540" s="9"/>
    </row>
    <row r="541" spans="15:16">
      <c r="O541" s="9"/>
      <c r="P541" s="9"/>
    </row>
    <row r="542" spans="15:16">
      <c r="O542" s="9"/>
      <c r="P542" s="9"/>
    </row>
    <row r="543" spans="15:16">
      <c r="O543" s="9"/>
      <c r="P543" s="9"/>
    </row>
    <row r="544" spans="15:16">
      <c r="O544" s="9"/>
      <c r="P544" s="9"/>
    </row>
    <row r="545" spans="15:16">
      <c r="O545" s="9"/>
      <c r="P545" s="9"/>
    </row>
    <row r="546" spans="15:16">
      <c r="O546" s="9"/>
      <c r="P546" s="9"/>
    </row>
    <row r="547" spans="15:16">
      <c r="O547" s="9"/>
      <c r="P547" s="9"/>
    </row>
    <row r="548" spans="15:16">
      <c r="O548" s="9"/>
      <c r="P548" s="9"/>
    </row>
    <row r="549" spans="15:16">
      <c r="O549" s="9"/>
      <c r="P549" s="9"/>
    </row>
    <row r="550" spans="15:16">
      <c r="O550" s="9"/>
      <c r="P550" s="9"/>
    </row>
    <row r="551" spans="15:16">
      <c r="O551" s="9"/>
      <c r="P551" s="9"/>
    </row>
    <row r="552" spans="15:16">
      <c r="O552" s="9"/>
      <c r="P552" s="9"/>
    </row>
    <row r="553" spans="15:16">
      <c r="O553" s="9"/>
      <c r="P553" s="9"/>
    </row>
    <row r="554" spans="15:16">
      <c r="O554" s="9"/>
      <c r="P554" s="9"/>
    </row>
    <row r="555" spans="15:16">
      <c r="O555" s="9"/>
      <c r="P555" s="9"/>
    </row>
    <row r="556" spans="15:16">
      <c r="O556" s="9"/>
      <c r="P556" s="9"/>
    </row>
    <row r="557" spans="15:16">
      <c r="O557" s="9"/>
      <c r="P557" s="9"/>
    </row>
    <row r="558" spans="15:16">
      <c r="O558" s="9"/>
      <c r="P558" s="9"/>
    </row>
    <row r="559" spans="15:16">
      <c r="O559" s="9"/>
      <c r="P559" s="9"/>
    </row>
    <row r="560" spans="15:16">
      <c r="O560" s="9"/>
      <c r="P560" s="9"/>
    </row>
    <row r="561" spans="15:16">
      <c r="O561" s="9"/>
      <c r="P561" s="9"/>
    </row>
    <row r="562" spans="15:16">
      <c r="O562" s="9"/>
      <c r="P562" s="9"/>
    </row>
    <row r="563" spans="15:16">
      <c r="O563" s="9"/>
      <c r="P563" s="9"/>
    </row>
    <row r="564" spans="15:16">
      <c r="O564" s="9"/>
      <c r="P564" s="9"/>
    </row>
    <row r="565" spans="15:16">
      <c r="O565" s="9"/>
      <c r="P565" s="9"/>
    </row>
    <row r="566" spans="15:16">
      <c r="O566" s="9"/>
      <c r="P566" s="9"/>
    </row>
    <row r="567" spans="15:16">
      <c r="O567" s="9"/>
      <c r="P567" s="9"/>
    </row>
    <row r="568" spans="15:16">
      <c r="O568" s="9"/>
      <c r="P568" s="9"/>
    </row>
    <row r="569" spans="15:16">
      <c r="O569" s="9"/>
      <c r="P569" s="9"/>
    </row>
    <row r="570" spans="15:16">
      <c r="O570" s="9"/>
      <c r="P570" s="9"/>
    </row>
    <row r="571" spans="15:16">
      <c r="O571" s="9"/>
      <c r="P571" s="9"/>
    </row>
    <row r="572" spans="15:16">
      <c r="O572" s="9"/>
      <c r="P572" s="9"/>
    </row>
    <row r="573" spans="15:16">
      <c r="O573" s="9"/>
      <c r="P573" s="9"/>
    </row>
    <row r="574" spans="15:16">
      <c r="O574" s="9"/>
      <c r="P574" s="9"/>
    </row>
    <row r="575" spans="15:16">
      <c r="O575" s="9"/>
      <c r="P575" s="9"/>
    </row>
    <row r="576" spans="15:16">
      <c r="O576" s="9"/>
      <c r="P576" s="9"/>
    </row>
    <row r="577" spans="15:16">
      <c r="O577" s="9"/>
      <c r="P577" s="9"/>
    </row>
    <row r="578" spans="15:16">
      <c r="O578" s="9"/>
      <c r="P578" s="9"/>
    </row>
    <row r="579" spans="15:16">
      <c r="O579" s="9"/>
      <c r="P579" s="9"/>
    </row>
    <row r="580" spans="15:16">
      <c r="O580" s="9"/>
      <c r="P580" s="9"/>
    </row>
    <row r="581" spans="15:16">
      <c r="O581" s="9"/>
      <c r="P581" s="9"/>
    </row>
    <row r="582" spans="15:16">
      <c r="O582" s="9"/>
      <c r="P582" s="9"/>
    </row>
    <row r="583" spans="15:16">
      <c r="O583" s="9"/>
      <c r="P583" s="9"/>
    </row>
    <row r="584" spans="15:16">
      <c r="O584" s="9"/>
      <c r="P584" s="9"/>
    </row>
    <row r="585" spans="15:16">
      <c r="O585" s="9"/>
      <c r="P585" s="9"/>
    </row>
    <row r="586" spans="15:16">
      <c r="O586" s="9"/>
      <c r="P586" s="9"/>
    </row>
    <row r="587" spans="15:16">
      <c r="O587" s="9"/>
      <c r="P587" s="9"/>
    </row>
    <row r="588" spans="15:16">
      <c r="O588" s="9"/>
      <c r="P588" s="9"/>
    </row>
    <row r="589" spans="15:16">
      <c r="O589" s="9"/>
      <c r="P589" s="9"/>
    </row>
    <row r="590" spans="15:16">
      <c r="O590" s="9"/>
      <c r="P590" s="9"/>
    </row>
    <row r="591" spans="15:16">
      <c r="O591" s="9"/>
      <c r="P591" s="9"/>
    </row>
    <row r="592" spans="15:16">
      <c r="O592" s="9"/>
      <c r="P592" s="9"/>
    </row>
    <row r="593" spans="15:16">
      <c r="O593" s="9"/>
      <c r="P593" s="9"/>
    </row>
  </sheetData>
  <mergeCells count="5">
    <mergeCell ref="A1:P1"/>
    <mergeCell ref="A2:P2"/>
    <mergeCell ref="A3:P3"/>
    <mergeCell ref="A4:P4"/>
    <mergeCell ref="A128:H128"/>
  </mergeCells>
  <phoneticPr fontId="16" type="noConversion"/>
  <pageMargins left="0.6692913385826772" right="0.6692913385826772" top="0.74803149606299213" bottom="0.91" header="0.51181102362204722" footer="0.51181102362204722"/>
  <pageSetup paperSize="9" scale="95" orientation="portrait" r:id="rId1"/>
  <headerFooter alignWithMargins="0"/>
  <rowBreaks count="3" manualBreakCount="3">
    <brk id="55" max="14" man="1"/>
    <brk id="104" max="14" man="1"/>
    <brk id="128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2"/>
  <sheetViews>
    <sheetView view="pageBreakPreview" zoomScaleSheetLayoutView="100" zoomScalePageLayoutView="90" workbookViewId="0">
      <pane ySplit="5" topLeftCell="A6" activePane="bottomLeft" state="frozenSplit"/>
      <selection pane="bottomLeft" activeCell="R12" sqref="R12"/>
    </sheetView>
  </sheetViews>
  <sheetFormatPr defaultRowHeight="12.75"/>
  <cols>
    <col min="1" max="1" width="17.28515625" style="230" customWidth="1"/>
    <col min="2" max="2" width="2" style="230" customWidth="1"/>
    <col min="3" max="3" width="6.7109375" style="230" hidden="1" customWidth="1"/>
    <col min="4" max="6" width="8.28515625" style="230" hidden="1" customWidth="1"/>
    <col min="7" max="7" width="8.5703125" style="230" hidden="1" customWidth="1"/>
    <col min="8" max="8" width="8.28515625" style="230" hidden="1" customWidth="1"/>
    <col min="9" max="14" width="8.5703125" style="230" customWidth="1"/>
    <col min="15" max="15" width="2" style="230" customWidth="1"/>
    <col min="16" max="16" width="17.140625" style="230" customWidth="1"/>
    <col min="17" max="16384" width="9.140625" style="230"/>
  </cols>
  <sheetData>
    <row r="1" spans="1:16" ht="12.95" customHeight="1">
      <c r="A1" s="318" t="s">
        <v>133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s="231" customFormat="1" ht="17.100000000000001" customHeight="1">
      <c r="A2" s="319" t="s">
        <v>161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2.95" customHeight="1">
      <c r="A3" s="320" t="s">
        <v>162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2.95" customHeight="1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s="232" customFormat="1" ht="20.100000000000001" customHeight="1" thickBot="1">
      <c r="A5" s="184" t="s">
        <v>1</v>
      </c>
      <c r="B5" s="185"/>
      <c r="C5" s="186">
        <v>2001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7">
        <v>2008</v>
      </c>
      <c r="J5" s="187">
        <v>2009</v>
      </c>
      <c r="K5" s="187">
        <v>2010</v>
      </c>
      <c r="L5" s="187">
        <v>2011</v>
      </c>
      <c r="M5" s="187">
        <v>2012</v>
      </c>
      <c r="N5" s="187">
        <v>2013</v>
      </c>
      <c r="O5" s="185"/>
      <c r="P5" s="186" t="s">
        <v>2</v>
      </c>
    </row>
    <row r="6" spans="1:16" s="233" customFormat="1">
      <c r="A6" s="150"/>
      <c r="B6" s="188" t="s">
        <v>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73" t="s">
        <v>4</v>
      </c>
      <c r="P6" s="150"/>
    </row>
    <row r="7" spans="1:16" s="150" customFormat="1" ht="20.100000000000001" customHeight="1">
      <c r="A7" s="165" t="s">
        <v>116</v>
      </c>
      <c r="B7" s="188" t="s">
        <v>144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73" t="s">
        <v>145</v>
      </c>
      <c r="P7" s="189" t="s">
        <v>301</v>
      </c>
    </row>
    <row r="8" spans="1:16" s="150" customFormat="1" ht="12.2" customHeight="1">
      <c r="A8" s="150" t="s">
        <v>165</v>
      </c>
      <c r="C8" s="195">
        <v>552</v>
      </c>
      <c r="D8" s="75">
        <v>821.4</v>
      </c>
      <c r="E8" s="75">
        <v>861.1</v>
      </c>
      <c r="F8" s="75">
        <v>1062.5</v>
      </c>
      <c r="G8" s="75">
        <v>1285.8</v>
      </c>
      <c r="H8" s="75">
        <v>1572.6</v>
      </c>
      <c r="I8" s="75">
        <v>1898.7</v>
      </c>
      <c r="J8" s="75">
        <v>2158.3000000000002</v>
      </c>
      <c r="K8" s="75">
        <v>2304</v>
      </c>
      <c r="L8" s="75">
        <v>2636.9</v>
      </c>
      <c r="M8" s="75">
        <v>2611.1</v>
      </c>
      <c r="N8" s="75">
        <v>2795.8</v>
      </c>
      <c r="P8" s="234" t="s">
        <v>20</v>
      </c>
    </row>
    <row r="9" spans="1:16" s="150" customFormat="1" ht="12.2" customHeight="1">
      <c r="A9" s="150" t="s">
        <v>166</v>
      </c>
      <c r="C9" s="195">
        <v>2356</v>
      </c>
      <c r="D9" s="75">
        <v>2765</v>
      </c>
      <c r="E9" s="75">
        <v>2879.6</v>
      </c>
      <c r="F9" s="75">
        <v>3512.8</v>
      </c>
      <c r="G9" s="75">
        <v>4035.2</v>
      </c>
      <c r="H9" s="75">
        <v>5682.6</v>
      </c>
      <c r="I9" s="75">
        <v>6728.4</v>
      </c>
      <c r="J9" s="75">
        <v>7119.3</v>
      </c>
      <c r="K9" s="75">
        <v>7868</v>
      </c>
      <c r="L9" s="75">
        <v>8135.1</v>
      </c>
      <c r="M9" s="75">
        <v>8464.7999999999993</v>
      </c>
      <c r="N9" s="75">
        <v>9159.1</v>
      </c>
      <c r="P9" s="234" t="s">
        <v>21</v>
      </c>
    </row>
    <row r="10" spans="1:16" s="150" customFormat="1" ht="12.2" customHeight="1">
      <c r="A10" s="150" t="s">
        <v>167</v>
      </c>
      <c r="C10" s="195">
        <v>2783.7</v>
      </c>
      <c r="D10" s="75">
        <v>3278.6</v>
      </c>
      <c r="E10" s="75">
        <v>3545.8</v>
      </c>
      <c r="F10" s="75">
        <v>4169.3999999999996</v>
      </c>
      <c r="G10" s="75">
        <v>4892.6000000000004</v>
      </c>
      <c r="H10" s="75">
        <v>6596.5</v>
      </c>
      <c r="I10" s="75">
        <v>8044.5</v>
      </c>
      <c r="J10" s="75">
        <v>8404.2000000000007</v>
      </c>
      <c r="K10" s="75">
        <v>9496</v>
      </c>
      <c r="L10" s="75">
        <v>9994.09</v>
      </c>
      <c r="M10" s="75">
        <v>10435.1</v>
      </c>
      <c r="N10" s="75">
        <v>11219.7</v>
      </c>
      <c r="P10" s="234" t="s">
        <v>22</v>
      </c>
    </row>
    <row r="11" spans="1:16" s="150" customFormat="1" ht="20.100000000000001" customHeight="1">
      <c r="A11" s="188" t="s">
        <v>8</v>
      </c>
      <c r="B11" s="188" t="s">
        <v>146</v>
      </c>
      <c r="C11" s="19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 t="s">
        <v>147</v>
      </c>
      <c r="P11" s="189" t="s">
        <v>302</v>
      </c>
    </row>
    <row r="12" spans="1:16" s="150" customFormat="1" ht="12.2" customHeight="1">
      <c r="A12" s="150" t="s">
        <v>165</v>
      </c>
      <c r="C12" s="195">
        <v>552</v>
      </c>
      <c r="D12" s="75">
        <v>73370</v>
      </c>
      <c r="E12" s="75">
        <v>83450</v>
      </c>
      <c r="F12" s="75">
        <v>100710</v>
      </c>
      <c r="G12" s="75">
        <v>121340</v>
      </c>
      <c r="H12" s="75">
        <v>151800</v>
      </c>
      <c r="I12" s="75">
        <v>170579</v>
      </c>
      <c r="J12" s="75">
        <v>182991</v>
      </c>
      <c r="K12" s="75">
        <v>214040</v>
      </c>
      <c r="L12" s="75">
        <v>248707</v>
      </c>
      <c r="M12" s="75">
        <v>274510</v>
      </c>
      <c r="N12" s="75">
        <v>344100</v>
      </c>
      <c r="P12" s="234" t="s">
        <v>20</v>
      </c>
    </row>
    <row r="13" spans="1:16" s="150" customFormat="1" ht="12.2" customHeight="1">
      <c r="A13" s="150" t="s">
        <v>166</v>
      </c>
      <c r="C13" s="195">
        <v>2356</v>
      </c>
      <c r="D13" s="75">
        <v>410810</v>
      </c>
      <c r="E13" s="75">
        <v>468260</v>
      </c>
      <c r="F13" s="75">
        <v>522300</v>
      </c>
      <c r="G13" s="75">
        <v>601310</v>
      </c>
      <c r="H13" s="75">
        <v>716280</v>
      </c>
      <c r="I13" s="75">
        <v>596085</v>
      </c>
      <c r="J13" s="75">
        <v>648220</v>
      </c>
      <c r="K13" s="75">
        <v>703419</v>
      </c>
      <c r="L13" s="75">
        <v>760704</v>
      </c>
      <c r="M13" s="75">
        <v>819898</v>
      </c>
      <c r="N13" s="75">
        <v>951986</v>
      </c>
      <c r="P13" s="234" t="s">
        <v>21</v>
      </c>
    </row>
    <row r="14" spans="1:16" s="150" customFormat="1" ht="12.2" customHeight="1">
      <c r="A14" s="150" t="s">
        <v>167</v>
      </c>
      <c r="C14" s="195">
        <v>2783.7</v>
      </c>
      <c r="D14" s="75" t="s">
        <v>61</v>
      </c>
      <c r="E14" s="75" t="s">
        <v>61</v>
      </c>
      <c r="F14" s="75" t="s">
        <v>61</v>
      </c>
      <c r="G14" s="75" t="s">
        <v>61</v>
      </c>
      <c r="H14" s="75" t="s">
        <v>61</v>
      </c>
      <c r="I14" s="75">
        <v>766664</v>
      </c>
      <c r="J14" s="75">
        <v>831211</v>
      </c>
      <c r="K14" s="75">
        <v>917459</v>
      </c>
      <c r="L14" s="75">
        <v>1009411</v>
      </c>
      <c r="M14" s="75">
        <v>1094408</v>
      </c>
      <c r="N14" s="75">
        <v>1296086</v>
      </c>
      <c r="P14" s="234" t="s">
        <v>22</v>
      </c>
    </row>
    <row r="15" spans="1:16" s="150" customFormat="1" ht="20.100000000000001" customHeight="1">
      <c r="A15" s="235" t="s">
        <v>85</v>
      </c>
      <c r="B15" s="188" t="s">
        <v>144</v>
      </c>
      <c r="C15" s="236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173" t="s">
        <v>5</v>
      </c>
      <c r="P15" s="189" t="s">
        <v>86</v>
      </c>
    </row>
    <row r="16" spans="1:16" s="150" customFormat="1" ht="12.2" customHeight="1">
      <c r="A16" s="150" t="s">
        <v>165</v>
      </c>
      <c r="C16" s="195">
        <v>552</v>
      </c>
      <c r="D16" s="75">
        <v>5773601</v>
      </c>
      <c r="E16" s="75">
        <v>10148626</v>
      </c>
      <c r="F16" s="75">
        <v>11399125</v>
      </c>
      <c r="G16" s="75">
        <v>15460060</v>
      </c>
      <c r="H16" s="75">
        <v>21721167</v>
      </c>
      <c r="I16" s="75">
        <v>28190000</v>
      </c>
      <c r="J16" s="75">
        <v>37300000</v>
      </c>
      <c r="K16" s="75">
        <v>51620000</v>
      </c>
      <c r="L16" s="75">
        <v>62476000</v>
      </c>
      <c r="M16" s="75">
        <v>63700000</v>
      </c>
      <c r="N16" s="75" t="s">
        <v>61</v>
      </c>
      <c r="P16" s="234" t="s">
        <v>20</v>
      </c>
    </row>
    <row r="17" spans="1:16" s="150" customFormat="1" ht="12.2" customHeight="1">
      <c r="A17" s="150" t="s">
        <v>166</v>
      </c>
      <c r="C17" s="195">
        <v>2356</v>
      </c>
      <c r="D17" s="75" t="s">
        <v>61</v>
      </c>
      <c r="E17" s="75">
        <v>12254000</v>
      </c>
      <c r="F17" s="75">
        <v>14684000</v>
      </c>
      <c r="G17" s="75">
        <v>21080000</v>
      </c>
      <c r="H17" s="75">
        <v>26956000</v>
      </c>
      <c r="I17" s="75">
        <v>34920000</v>
      </c>
      <c r="J17" s="75">
        <v>45438000</v>
      </c>
      <c r="K17" s="75">
        <v>60386000</v>
      </c>
      <c r="L17" s="75">
        <v>72178000</v>
      </c>
      <c r="M17" s="75">
        <v>75466000</v>
      </c>
      <c r="N17" s="75">
        <v>87679000</v>
      </c>
      <c r="P17" s="234" t="s">
        <v>21</v>
      </c>
    </row>
    <row r="18" spans="1:16" s="150" customFormat="1" ht="12.2" customHeight="1">
      <c r="A18" s="150" t="s">
        <v>167</v>
      </c>
      <c r="C18" s="195">
        <v>2783.7</v>
      </c>
      <c r="D18" s="75" t="s">
        <v>61</v>
      </c>
      <c r="E18" s="75" t="s">
        <v>61</v>
      </c>
      <c r="F18" s="75" t="s">
        <v>61</v>
      </c>
      <c r="G18" s="75" t="s">
        <v>61</v>
      </c>
      <c r="I18" s="75" t="s">
        <v>61</v>
      </c>
      <c r="J18" s="75" t="s">
        <v>61</v>
      </c>
      <c r="K18" s="75" t="s">
        <v>61</v>
      </c>
      <c r="L18" s="75" t="s">
        <v>61</v>
      </c>
      <c r="M18" s="75" t="s">
        <v>61</v>
      </c>
      <c r="N18" s="75" t="s">
        <v>61</v>
      </c>
      <c r="P18" s="234" t="s">
        <v>22</v>
      </c>
    </row>
    <row r="19" spans="1:16" s="150" customFormat="1" ht="20.100000000000001" customHeight="1">
      <c r="A19" s="235" t="s">
        <v>10</v>
      </c>
      <c r="B19" s="188" t="s">
        <v>144</v>
      </c>
      <c r="C19" s="236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73" t="s">
        <v>145</v>
      </c>
      <c r="P19" s="189" t="s">
        <v>286</v>
      </c>
    </row>
    <row r="20" spans="1:16" s="150" customFormat="1" ht="12.2" customHeight="1">
      <c r="A20" s="150" t="s">
        <v>165</v>
      </c>
      <c r="C20" s="195">
        <v>552</v>
      </c>
      <c r="D20" s="75">
        <v>2919.9</v>
      </c>
      <c r="E20" s="75">
        <v>3192.9</v>
      </c>
      <c r="F20" s="75">
        <v>4061.3</v>
      </c>
      <c r="G20" s="75">
        <v>4566.3999999999996</v>
      </c>
      <c r="H20" s="75">
        <v>4833.2</v>
      </c>
      <c r="I20" s="75">
        <v>5573</v>
      </c>
      <c r="J20" s="75">
        <v>6039.5</v>
      </c>
      <c r="K20" s="75">
        <v>6550</v>
      </c>
      <c r="L20" s="75">
        <v>7271.5</v>
      </c>
      <c r="M20" s="75">
        <v>7211</v>
      </c>
      <c r="N20" s="237">
        <v>8408</v>
      </c>
      <c r="P20" s="234" t="s">
        <v>20</v>
      </c>
    </row>
    <row r="21" spans="1:16" s="150" customFormat="1" ht="12.2" customHeight="1">
      <c r="A21" s="150" t="s">
        <v>166</v>
      </c>
      <c r="C21" s="195">
        <v>2356</v>
      </c>
      <c r="D21" s="75">
        <v>9465.7000000000007</v>
      </c>
      <c r="E21" s="75">
        <v>10571.4</v>
      </c>
      <c r="F21" s="75">
        <v>12364</v>
      </c>
      <c r="G21" s="75">
        <v>14109.7</v>
      </c>
      <c r="H21" s="75">
        <v>15606.9</v>
      </c>
      <c r="I21" s="75">
        <v>18304.2</v>
      </c>
      <c r="J21" s="75">
        <v>20013.3</v>
      </c>
      <c r="K21" s="75">
        <v>22306.7</v>
      </c>
      <c r="L21" s="75">
        <v>24118.9</v>
      </c>
      <c r="M21" s="75">
        <v>24945</v>
      </c>
      <c r="N21" s="237">
        <v>27363</v>
      </c>
      <c r="P21" s="234" t="s">
        <v>21</v>
      </c>
    </row>
    <row r="22" spans="1:16" s="150" customFormat="1" ht="12.2" customHeight="1">
      <c r="A22" s="150" t="s">
        <v>167</v>
      </c>
      <c r="C22" s="195">
        <v>2783.7</v>
      </c>
      <c r="D22" s="75" t="s">
        <v>61</v>
      </c>
      <c r="E22" s="75" t="s">
        <v>61</v>
      </c>
      <c r="F22" s="75" t="s">
        <v>61</v>
      </c>
      <c r="G22" s="75" t="s">
        <v>61</v>
      </c>
      <c r="H22" s="75" t="s">
        <v>61</v>
      </c>
      <c r="I22" s="75" t="s">
        <v>61</v>
      </c>
      <c r="J22" s="75" t="s">
        <v>61</v>
      </c>
      <c r="K22" s="75" t="s">
        <v>61</v>
      </c>
      <c r="L22" s="75" t="s">
        <v>61</v>
      </c>
      <c r="M22" s="75" t="s">
        <v>61</v>
      </c>
      <c r="N22" s="75" t="s">
        <v>61</v>
      </c>
      <c r="P22" s="234" t="s">
        <v>22</v>
      </c>
    </row>
    <row r="23" spans="1:16" s="150" customFormat="1" ht="20.100000000000001" customHeight="1">
      <c r="A23" s="188" t="s">
        <v>11</v>
      </c>
      <c r="B23" s="188" t="s">
        <v>144</v>
      </c>
      <c r="C23" s="236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173" t="s">
        <v>145</v>
      </c>
      <c r="P23" s="189" t="s">
        <v>303</v>
      </c>
    </row>
    <row r="24" spans="1:16" s="150" customFormat="1" ht="12.2" customHeight="1">
      <c r="A24" s="150" t="s">
        <v>165</v>
      </c>
      <c r="C24" s="195">
        <v>552</v>
      </c>
      <c r="D24" s="75">
        <v>2611.5500000000002</v>
      </c>
      <c r="E24" s="75">
        <v>3174.24</v>
      </c>
      <c r="F24" s="75">
        <v>3727.4</v>
      </c>
      <c r="G24" s="75">
        <v>3550.26</v>
      </c>
      <c r="H24" s="75">
        <v>4146.75</v>
      </c>
      <c r="I24" s="75">
        <v>4531.7</v>
      </c>
      <c r="J24" s="75">
        <v>4882.1000000000004</v>
      </c>
      <c r="K24" s="75">
        <v>5316</v>
      </c>
      <c r="L24" s="75">
        <v>6551.2</v>
      </c>
      <c r="M24" s="75">
        <v>7873.3</v>
      </c>
      <c r="N24" s="75">
        <v>8850.5</v>
      </c>
      <c r="P24" s="234" t="s">
        <v>20</v>
      </c>
    </row>
    <row r="25" spans="1:16" s="150" customFormat="1" ht="12.2" customHeight="1">
      <c r="A25" s="150" t="s">
        <v>166</v>
      </c>
      <c r="C25" s="195">
        <v>2356</v>
      </c>
      <c r="D25" s="75">
        <v>10401.200000000001</v>
      </c>
      <c r="E25" s="75">
        <v>11655.2</v>
      </c>
      <c r="F25" s="75">
        <v>13086.2</v>
      </c>
      <c r="G25" s="75">
        <v>15920.6</v>
      </c>
      <c r="H25" s="75">
        <v>18959.900000000001</v>
      </c>
      <c r="I25" s="75">
        <v>22111.599999999999</v>
      </c>
      <c r="J25" s="75">
        <v>25063.9</v>
      </c>
      <c r="K25" s="75">
        <v>25343</v>
      </c>
      <c r="L25" s="75">
        <v>27933.1</v>
      </c>
      <c r="M25" s="75">
        <v>29888.1</v>
      </c>
      <c r="N25" s="75">
        <v>32732.3</v>
      </c>
      <c r="P25" s="234" t="s">
        <v>21</v>
      </c>
    </row>
    <row r="26" spans="1:16" s="150" customFormat="1" ht="12.2" customHeight="1">
      <c r="A26" s="150" t="s">
        <v>167</v>
      </c>
      <c r="C26" s="195">
        <v>2783.7</v>
      </c>
      <c r="D26" s="75">
        <v>10410.200000000001</v>
      </c>
      <c r="E26" s="75">
        <v>11678.4</v>
      </c>
      <c r="F26" s="75">
        <v>13100.4</v>
      </c>
      <c r="G26" s="75">
        <v>15946.7</v>
      </c>
      <c r="H26" s="75">
        <v>18986</v>
      </c>
      <c r="I26" s="75">
        <v>22168.400000000001</v>
      </c>
      <c r="J26" s="75">
        <v>25087.5</v>
      </c>
      <c r="K26" s="75">
        <v>25371.599999999999</v>
      </c>
      <c r="L26" s="75">
        <v>27947.200000000001</v>
      </c>
      <c r="M26" s="75">
        <v>29916.2</v>
      </c>
      <c r="N26" s="75">
        <v>32788.800000000003</v>
      </c>
      <c r="P26" s="234" t="s">
        <v>22</v>
      </c>
    </row>
    <row r="27" spans="1:16" s="150" customFormat="1" ht="20.100000000000001" customHeight="1">
      <c r="A27" s="188" t="s">
        <v>6</v>
      </c>
      <c r="B27" s="188" t="s">
        <v>146</v>
      </c>
      <c r="C27" s="190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73" t="s">
        <v>155</v>
      </c>
      <c r="P27" s="189" t="s">
        <v>7</v>
      </c>
    </row>
    <row r="28" spans="1:16" s="150" customFormat="1" ht="12.2" customHeight="1">
      <c r="A28" s="150" t="s">
        <v>165</v>
      </c>
      <c r="C28" s="195">
        <v>552</v>
      </c>
      <c r="D28" s="75">
        <v>2810120</v>
      </c>
      <c r="E28" s="75">
        <v>2987880</v>
      </c>
      <c r="F28" s="75">
        <v>2932530</v>
      </c>
      <c r="G28" s="75">
        <v>3283900</v>
      </c>
      <c r="H28" s="75">
        <v>3556120</v>
      </c>
      <c r="I28" s="75">
        <v>4213800</v>
      </c>
      <c r="J28" s="75">
        <v>4839666</v>
      </c>
      <c r="K28" s="75">
        <v>5728339</v>
      </c>
      <c r="L28" s="75">
        <v>6138351</v>
      </c>
      <c r="M28" s="75">
        <v>7103570</v>
      </c>
      <c r="N28" s="194">
        <v>7620390</v>
      </c>
      <c r="P28" s="234" t="s">
        <v>20</v>
      </c>
    </row>
    <row r="29" spans="1:16" s="150" customFormat="1" ht="12.2" customHeight="1">
      <c r="A29" s="150" t="s">
        <v>166</v>
      </c>
      <c r="C29" s="195">
        <v>2356</v>
      </c>
      <c r="D29" s="75">
        <v>25974400</v>
      </c>
      <c r="E29" s="75">
        <v>25814900</v>
      </c>
      <c r="F29" s="75">
        <v>24378100</v>
      </c>
      <c r="G29" s="75">
        <v>23382500</v>
      </c>
      <c r="H29" s="75">
        <v>24808700</v>
      </c>
      <c r="I29" s="75">
        <v>37236200</v>
      </c>
      <c r="J29" s="75">
        <v>51489408</v>
      </c>
      <c r="K29" s="75">
        <v>59401900</v>
      </c>
      <c r="L29" s="75">
        <v>58643003</v>
      </c>
      <c r="M29" s="75">
        <v>65077000</v>
      </c>
      <c r="N29" s="194">
        <v>68749400</v>
      </c>
      <c r="P29" s="234" t="s">
        <v>21</v>
      </c>
    </row>
    <row r="30" spans="1:16" s="150" customFormat="1" ht="12.2" customHeight="1">
      <c r="A30" s="150" t="s">
        <v>167</v>
      </c>
      <c r="C30" s="195">
        <v>2783.7</v>
      </c>
      <c r="D30" s="75">
        <v>64159100</v>
      </c>
      <c r="E30" s="75">
        <v>70757600</v>
      </c>
      <c r="F30" s="75">
        <v>73882100</v>
      </c>
      <c r="G30" s="75">
        <v>79670300</v>
      </c>
      <c r="H30" s="75">
        <v>89611700</v>
      </c>
      <c r="I30" s="75">
        <v>103063700</v>
      </c>
      <c r="J30" s="75">
        <v>123731590</v>
      </c>
      <c r="K30" s="75">
        <v>138909800</v>
      </c>
      <c r="L30" s="75">
        <v>146575586</v>
      </c>
      <c r="M30" s="75">
        <v>156797000</v>
      </c>
      <c r="N30" s="238">
        <v>167571000</v>
      </c>
      <c r="P30" s="234" t="s">
        <v>22</v>
      </c>
    </row>
    <row r="31" spans="1:16" s="150" customFormat="1" ht="20.100000000000001" customHeight="1">
      <c r="A31" s="188" t="s">
        <v>206</v>
      </c>
      <c r="B31" s="188" t="s">
        <v>144</v>
      </c>
      <c r="C31" s="236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173" t="s">
        <v>145</v>
      </c>
      <c r="P31" s="189" t="s">
        <v>208</v>
      </c>
    </row>
    <row r="32" spans="1:16" s="150" customFormat="1" ht="12.2" customHeight="1">
      <c r="A32" s="150" t="s">
        <v>165</v>
      </c>
      <c r="C32" s="195">
        <v>552</v>
      </c>
      <c r="D32" s="75">
        <v>11277.7</v>
      </c>
      <c r="E32" s="75">
        <v>14598.4</v>
      </c>
      <c r="F32" s="75">
        <v>22362.2</v>
      </c>
      <c r="G32" s="75">
        <v>27883.1</v>
      </c>
      <c r="H32" s="75">
        <v>40737</v>
      </c>
      <c r="I32" s="75">
        <v>34414.6</v>
      </c>
      <c r="J32" s="75">
        <v>38169.4</v>
      </c>
      <c r="K32" s="75">
        <v>41321.199999999997</v>
      </c>
      <c r="L32" s="75">
        <v>53437.1</v>
      </c>
      <c r="M32" s="75">
        <v>59213.7</v>
      </c>
      <c r="N32" s="75">
        <v>64299.4</v>
      </c>
      <c r="P32" s="234" t="s">
        <v>20</v>
      </c>
    </row>
    <row r="33" spans="1:19" s="150" customFormat="1" ht="12.2" customHeight="1">
      <c r="A33" s="150" t="s">
        <v>166</v>
      </c>
      <c r="C33" s="195">
        <v>2356</v>
      </c>
      <c r="D33" s="75">
        <v>37223</v>
      </c>
      <c r="E33" s="75">
        <v>44865</v>
      </c>
      <c r="F33" s="75">
        <v>64270.9</v>
      </c>
      <c r="G33" s="75">
        <v>88658.5</v>
      </c>
      <c r="H33" s="75">
        <v>153735</v>
      </c>
      <c r="I33" s="75">
        <f>5329.9+I32</f>
        <v>39744.5</v>
      </c>
      <c r="J33" s="75">
        <f>5991.9+J32</f>
        <v>44161.3</v>
      </c>
      <c r="K33" s="75">
        <f>5029.5+K32</f>
        <v>46350.7</v>
      </c>
      <c r="L33" s="75">
        <f>4503.8+L32</f>
        <v>57940.9</v>
      </c>
      <c r="M33" s="75">
        <v>63731.5</v>
      </c>
      <c r="N33" s="75">
        <v>69005.899999999994</v>
      </c>
      <c r="P33" s="234" t="s">
        <v>21</v>
      </c>
      <c r="S33" s="239"/>
    </row>
    <row r="34" spans="1:19" s="150" customFormat="1" ht="12.2" customHeight="1">
      <c r="A34" s="150" t="s">
        <v>167</v>
      </c>
      <c r="C34" s="195">
        <v>2783.7</v>
      </c>
      <c r="D34" s="75">
        <v>54832.9</v>
      </c>
      <c r="E34" s="75">
        <v>63026.5</v>
      </c>
      <c r="F34" s="75">
        <v>87758.5</v>
      </c>
      <c r="G34" s="75">
        <v>123683</v>
      </c>
      <c r="H34" s="75">
        <v>167764</v>
      </c>
      <c r="I34" s="75" t="s">
        <v>61</v>
      </c>
      <c r="J34" s="75" t="s">
        <v>61</v>
      </c>
      <c r="K34" s="75" t="s">
        <v>61</v>
      </c>
      <c r="L34" s="75" t="s">
        <v>61</v>
      </c>
      <c r="M34" s="75" t="s">
        <v>61</v>
      </c>
      <c r="N34" s="75" t="s">
        <v>61</v>
      </c>
      <c r="P34" s="234" t="s">
        <v>22</v>
      </c>
    </row>
    <row r="35" spans="1:19" s="150" customFormat="1" ht="20.100000000000001" customHeight="1">
      <c r="A35" s="188" t="s">
        <v>209</v>
      </c>
      <c r="B35" s="188" t="s">
        <v>221</v>
      </c>
      <c r="C35" s="236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181" t="s">
        <v>157</v>
      </c>
      <c r="P35" s="189" t="s">
        <v>211</v>
      </c>
    </row>
    <row r="36" spans="1:19" s="150" customFormat="1" ht="12.2" customHeight="1">
      <c r="A36" s="150" t="s">
        <v>165</v>
      </c>
      <c r="C36" s="195">
        <v>552</v>
      </c>
      <c r="D36" s="75">
        <v>11277.7</v>
      </c>
      <c r="E36" s="75">
        <v>14598.4</v>
      </c>
      <c r="F36" s="75">
        <v>22362.2</v>
      </c>
      <c r="G36" s="75">
        <v>27883.1</v>
      </c>
      <c r="H36" s="75">
        <v>40737</v>
      </c>
      <c r="I36" s="75">
        <v>488877</v>
      </c>
      <c r="J36" s="75">
        <v>525380</v>
      </c>
      <c r="K36" s="75">
        <v>549478</v>
      </c>
      <c r="L36" s="75">
        <v>586777</v>
      </c>
      <c r="M36" s="75">
        <v>612163</v>
      </c>
      <c r="N36" s="75">
        <v>628941</v>
      </c>
      <c r="P36" s="234" t="s">
        <v>20</v>
      </c>
    </row>
    <row r="37" spans="1:19" s="150" customFormat="1" ht="12.2" customHeight="1">
      <c r="A37" s="150" t="s">
        <v>166</v>
      </c>
      <c r="C37" s="195">
        <v>2356</v>
      </c>
      <c r="D37" s="75">
        <v>37223</v>
      </c>
      <c r="E37" s="75">
        <v>44865</v>
      </c>
      <c r="F37" s="75">
        <v>64270.9</v>
      </c>
      <c r="G37" s="75">
        <v>88658.5</v>
      </c>
      <c r="H37" s="75">
        <v>153735</v>
      </c>
      <c r="I37" s="75">
        <v>568746</v>
      </c>
      <c r="J37" s="75">
        <v>612715</v>
      </c>
      <c r="K37" s="75">
        <v>643504</v>
      </c>
      <c r="L37" s="75">
        <v>689692</v>
      </c>
      <c r="M37" s="75">
        <v>723519</v>
      </c>
      <c r="N37" s="75">
        <v>749263</v>
      </c>
      <c r="P37" s="234" t="s">
        <v>21</v>
      </c>
      <c r="S37" s="239"/>
    </row>
    <row r="38" spans="1:19" s="150" customFormat="1" ht="12.2" customHeight="1">
      <c r="A38" s="150" t="s">
        <v>167</v>
      </c>
      <c r="C38" s="195">
        <v>2783.7</v>
      </c>
      <c r="D38" s="75">
        <v>54832.9</v>
      </c>
      <c r="E38" s="75">
        <v>63026.5</v>
      </c>
      <c r="F38" s="75">
        <v>87758.5</v>
      </c>
      <c r="G38" s="75">
        <v>123683</v>
      </c>
      <c r="H38" s="75">
        <v>167764</v>
      </c>
      <c r="I38" s="75">
        <v>799906</v>
      </c>
      <c r="J38" s="75">
        <v>855955</v>
      </c>
      <c r="K38" s="75">
        <v>891866</v>
      </c>
      <c r="L38" s="75">
        <v>949287</v>
      </c>
      <c r="M38" s="75">
        <v>992176</v>
      </c>
      <c r="N38" s="75">
        <v>1023166</v>
      </c>
      <c r="P38" s="234" t="s">
        <v>22</v>
      </c>
    </row>
    <row r="39" spans="1:19" s="150" customFormat="1" ht="20.100000000000001" customHeight="1">
      <c r="A39" s="188" t="s">
        <v>12</v>
      </c>
      <c r="B39" s="188" t="s">
        <v>151</v>
      </c>
      <c r="C39" s="236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173" t="s">
        <v>152</v>
      </c>
      <c r="P39" s="189" t="s">
        <v>15</v>
      </c>
    </row>
    <row r="40" spans="1:19" s="150" customFormat="1" ht="12.2" customHeight="1">
      <c r="A40" s="150" t="s">
        <v>165</v>
      </c>
      <c r="C40" s="195">
        <v>552</v>
      </c>
      <c r="D40" s="75">
        <v>804.2</v>
      </c>
      <c r="E40" s="75">
        <v>907.4</v>
      </c>
      <c r="F40" s="75">
        <v>1128.0999999999999</v>
      </c>
      <c r="G40" s="75">
        <v>1229.5999999999999</v>
      </c>
      <c r="H40" s="75">
        <v>1916.9</v>
      </c>
      <c r="I40" s="75">
        <v>1993</v>
      </c>
      <c r="J40" s="75">
        <v>2364.8000000000002</v>
      </c>
      <c r="K40" s="75">
        <v>2875.9</v>
      </c>
      <c r="L40" s="75">
        <v>3064.9</v>
      </c>
      <c r="M40" s="75">
        <v>3492</v>
      </c>
      <c r="N40" s="75">
        <v>3951</v>
      </c>
      <c r="P40" s="234" t="s">
        <v>20</v>
      </c>
    </row>
    <row r="41" spans="1:19" s="150" customFormat="1" ht="12.2" customHeight="1">
      <c r="A41" s="150" t="s">
        <v>166</v>
      </c>
      <c r="C41" s="195">
        <v>2356</v>
      </c>
      <c r="D41" s="75">
        <v>2832.3</v>
      </c>
      <c r="E41" s="75">
        <v>2944.3</v>
      </c>
      <c r="F41" s="75">
        <v>3573.1</v>
      </c>
      <c r="G41" s="75">
        <v>4461.3</v>
      </c>
      <c r="H41" s="75">
        <v>6111.4</v>
      </c>
      <c r="I41" s="75">
        <v>7531.3</v>
      </c>
      <c r="J41" s="75">
        <v>7889.9</v>
      </c>
      <c r="K41" s="75">
        <v>8784.7999999999993</v>
      </c>
      <c r="L41" s="75">
        <v>9854.9</v>
      </c>
      <c r="M41" s="75">
        <v>10912</v>
      </c>
      <c r="N41" s="75">
        <v>11838</v>
      </c>
      <c r="P41" s="234" t="s">
        <v>21</v>
      </c>
    </row>
    <row r="42" spans="1:19" s="150" customFormat="1" ht="12.2" customHeight="1">
      <c r="A42" s="150" t="s">
        <v>167</v>
      </c>
      <c r="C42" s="195">
        <v>2783.7</v>
      </c>
      <c r="D42" s="75" t="s">
        <v>61</v>
      </c>
      <c r="E42" s="75" t="s">
        <v>61</v>
      </c>
      <c r="F42" s="75" t="s">
        <v>61</v>
      </c>
      <c r="G42" s="75" t="s">
        <v>61</v>
      </c>
      <c r="H42" s="75" t="s">
        <v>61</v>
      </c>
      <c r="I42" s="75" t="s">
        <v>61</v>
      </c>
      <c r="J42" s="75" t="s">
        <v>61</v>
      </c>
      <c r="K42" s="75" t="s">
        <v>61</v>
      </c>
      <c r="L42" s="75" t="s">
        <v>61</v>
      </c>
      <c r="M42" s="75" t="s">
        <v>61</v>
      </c>
      <c r="N42" s="75" t="s">
        <v>61</v>
      </c>
      <c r="P42" s="234" t="s">
        <v>22</v>
      </c>
    </row>
    <row r="43" spans="1:19" s="150" customFormat="1" ht="11.25" hidden="1" customHeight="1">
      <c r="A43" s="188" t="s">
        <v>304</v>
      </c>
      <c r="B43" s="188" t="s">
        <v>19</v>
      </c>
      <c r="C43" s="236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173" t="s">
        <v>18</v>
      </c>
      <c r="P43" s="189" t="s">
        <v>305</v>
      </c>
    </row>
    <row r="44" spans="1:19" s="150" customFormat="1" ht="17.25" hidden="1" customHeight="1">
      <c r="A44" s="150" t="s">
        <v>165</v>
      </c>
      <c r="C44" s="195">
        <v>552</v>
      </c>
      <c r="D44" s="183">
        <v>2918.8</v>
      </c>
      <c r="E44" s="183">
        <v>3192.9</v>
      </c>
      <c r="F44" s="183">
        <v>4061.3</v>
      </c>
      <c r="G44" s="183">
        <v>4566.5</v>
      </c>
      <c r="H44" s="200">
        <v>4833.1000000000004</v>
      </c>
      <c r="I44" s="200"/>
      <c r="J44" s="200"/>
      <c r="K44" s="200"/>
      <c r="L44" s="200"/>
      <c r="M44" s="200"/>
      <c r="N44" s="200"/>
      <c r="P44" s="234" t="s">
        <v>20</v>
      </c>
    </row>
    <row r="45" spans="1:19" s="150" customFormat="1" ht="15.75" hidden="1" customHeight="1">
      <c r="A45" s="150" t="s">
        <v>166</v>
      </c>
      <c r="C45" s="195">
        <v>2356</v>
      </c>
      <c r="D45" s="183"/>
      <c r="E45" s="183"/>
      <c r="F45" s="183"/>
      <c r="G45" s="183"/>
      <c r="H45" s="200"/>
      <c r="I45" s="200"/>
      <c r="J45" s="200"/>
      <c r="K45" s="200"/>
      <c r="L45" s="200"/>
      <c r="M45" s="200"/>
      <c r="N45" s="200"/>
      <c r="P45" s="234" t="s">
        <v>21</v>
      </c>
    </row>
    <row r="46" spans="1:19" s="150" customFormat="1" ht="20.25" hidden="1" customHeight="1">
      <c r="A46" s="150" t="s">
        <v>167</v>
      </c>
      <c r="C46" s="195">
        <v>2783.7</v>
      </c>
      <c r="D46" s="183"/>
      <c r="E46" s="183"/>
      <c r="F46" s="183"/>
      <c r="G46" s="183"/>
      <c r="H46" s="200"/>
      <c r="I46" s="200"/>
      <c r="J46" s="200"/>
      <c r="K46" s="200"/>
      <c r="L46" s="200"/>
      <c r="M46" s="200"/>
      <c r="N46" s="200"/>
      <c r="P46" s="234" t="s">
        <v>22</v>
      </c>
    </row>
    <row r="47" spans="1:19" s="150" customFormat="1" ht="20.100000000000001" customHeight="1">
      <c r="A47" s="188" t="s">
        <v>306</v>
      </c>
      <c r="B47" s="188" t="s">
        <v>151</v>
      </c>
      <c r="C47" s="236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173" t="s">
        <v>152</v>
      </c>
      <c r="P47" s="189" t="s">
        <v>307</v>
      </c>
    </row>
    <row r="48" spans="1:19" s="150" customFormat="1" ht="12.2" customHeight="1">
      <c r="A48" s="150" t="s">
        <v>165</v>
      </c>
      <c r="C48" s="195">
        <v>552</v>
      </c>
      <c r="D48" s="75">
        <v>11277.7</v>
      </c>
      <c r="E48" s="75">
        <v>14598.4</v>
      </c>
      <c r="F48" s="75">
        <v>22362.2</v>
      </c>
      <c r="G48" s="75">
        <v>27883.1</v>
      </c>
      <c r="H48" s="75">
        <v>40737</v>
      </c>
      <c r="I48" s="75">
        <v>50870</v>
      </c>
      <c r="J48" s="75">
        <v>53116</v>
      </c>
      <c r="K48" s="75">
        <v>68336.800000000003</v>
      </c>
      <c r="L48" s="75">
        <v>81847</v>
      </c>
      <c r="M48" s="75">
        <v>90939</v>
      </c>
      <c r="N48" s="75">
        <v>105931</v>
      </c>
      <c r="P48" s="234" t="s">
        <v>20</v>
      </c>
    </row>
    <row r="49" spans="1:19" s="150" customFormat="1" ht="12.2" customHeight="1">
      <c r="A49" s="150" t="s">
        <v>166</v>
      </c>
      <c r="C49" s="195">
        <v>2356</v>
      </c>
      <c r="D49" s="75">
        <v>37223</v>
      </c>
      <c r="E49" s="75">
        <v>44865</v>
      </c>
      <c r="F49" s="75">
        <v>64270.9</v>
      </c>
      <c r="G49" s="75">
        <v>88658.5</v>
      </c>
      <c r="H49" s="75">
        <v>153735</v>
      </c>
      <c r="I49" s="75">
        <v>184005</v>
      </c>
      <c r="J49" s="75">
        <v>215082</v>
      </c>
      <c r="K49" s="75">
        <v>264715.8</v>
      </c>
      <c r="L49" s="75">
        <v>309966</v>
      </c>
      <c r="M49" s="75">
        <v>381053.2</v>
      </c>
      <c r="N49" s="75">
        <v>455715</v>
      </c>
      <c r="P49" s="234" t="s">
        <v>21</v>
      </c>
      <c r="S49" s="239"/>
    </row>
    <row r="50" spans="1:19" s="150" customFormat="1" ht="12.2" customHeight="1">
      <c r="A50" s="150" t="s">
        <v>167</v>
      </c>
      <c r="C50" s="195">
        <v>2783.7</v>
      </c>
      <c r="D50" s="75">
        <v>54832.9</v>
      </c>
      <c r="E50" s="75">
        <v>63026.5</v>
      </c>
      <c r="F50" s="75">
        <v>87758.5</v>
      </c>
      <c r="G50" s="75">
        <v>123683</v>
      </c>
      <c r="H50" s="75">
        <v>167764</v>
      </c>
      <c r="I50" s="75">
        <v>204434</v>
      </c>
      <c r="J50" s="75">
        <v>230493</v>
      </c>
      <c r="K50" s="75">
        <v>283870</v>
      </c>
      <c r="L50" s="75">
        <v>361974</v>
      </c>
      <c r="M50" s="75">
        <v>442481</v>
      </c>
      <c r="N50" s="75">
        <v>576814</v>
      </c>
      <c r="P50" s="234" t="s">
        <v>22</v>
      </c>
    </row>
    <row r="51" spans="1:19" s="150" customFormat="1" ht="20.100000000000001" customHeight="1">
      <c r="A51" s="188" t="s">
        <v>117</v>
      </c>
      <c r="B51" s="188" t="s">
        <v>151</v>
      </c>
      <c r="C51" s="190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73" t="s">
        <v>152</v>
      </c>
      <c r="P51" s="189" t="s">
        <v>98</v>
      </c>
    </row>
    <row r="52" spans="1:19" s="150" customFormat="1" ht="12.6" customHeight="1">
      <c r="A52" s="150" t="s">
        <v>165</v>
      </c>
      <c r="C52" s="195">
        <v>552</v>
      </c>
      <c r="D52" s="75">
        <v>223022</v>
      </c>
      <c r="E52" s="75">
        <v>271303</v>
      </c>
      <c r="F52" s="75">
        <v>283539</v>
      </c>
      <c r="G52" s="75">
        <v>312742</v>
      </c>
      <c r="H52" s="75">
        <v>383557</v>
      </c>
      <c r="I52" s="75">
        <v>425494</v>
      </c>
      <c r="J52" s="75">
        <v>521558</v>
      </c>
      <c r="K52" s="75">
        <v>625592</v>
      </c>
      <c r="L52" s="75">
        <v>760985</v>
      </c>
      <c r="M52" s="75">
        <v>887115</v>
      </c>
      <c r="N52" s="75">
        <v>1000449</v>
      </c>
      <c r="P52" s="234" t="s">
        <v>20</v>
      </c>
    </row>
    <row r="53" spans="1:19" s="150" customFormat="1" ht="12.6" customHeight="1">
      <c r="A53" s="150" t="s">
        <v>166</v>
      </c>
      <c r="C53" s="195">
        <v>2356</v>
      </c>
      <c r="D53" s="75">
        <v>336404</v>
      </c>
      <c r="E53" s="75">
        <v>407976</v>
      </c>
      <c r="F53" s="75">
        <v>448805</v>
      </c>
      <c r="G53" s="75">
        <v>538769</v>
      </c>
      <c r="H53" s="75">
        <v>666616</v>
      </c>
      <c r="I53" s="75">
        <v>793118</v>
      </c>
      <c r="J53" s="75">
        <v>844935</v>
      </c>
      <c r="K53" s="75">
        <v>923874</v>
      </c>
      <c r="L53" s="75">
        <v>1066427</v>
      </c>
      <c r="M53" s="75">
        <v>1211543</v>
      </c>
      <c r="N53" s="75">
        <v>1345485</v>
      </c>
      <c r="P53" s="234" t="s">
        <v>21</v>
      </c>
    </row>
    <row r="54" spans="1:19" s="150" customFormat="1" ht="12.6" customHeight="1">
      <c r="A54" s="150" t="s">
        <v>167</v>
      </c>
      <c r="C54" s="195">
        <v>2783.7</v>
      </c>
      <c r="D54" s="75">
        <v>417465</v>
      </c>
      <c r="E54" s="75">
        <v>496098</v>
      </c>
      <c r="F54" s="75">
        <v>553675</v>
      </c>
      <c r="G54" s="75">
        <v>660583</v>
      </c>
      <c r="H54" s="75">
        <v>789755</v>
      </c>
      <c r="I54" s="75">
        <v>929125</v>
      </c>
      <c r="J54" s="75">
        <v>1028944</v>
      </c>
      <c r="K54" s="75">
        <v>1080370</v>
      </c>
      <c r="L54" s="75">
        <v>1223563</v>
      </c>
      <c r="M54" s="75">
        <v>1393754</v>
      </c>
      <c r="N54" s="75">
        <v>1545149</v>
      </c>
      <c r="P54" s="234" t="s">
        <v>22</v>
      </c>
    </row>
    <row r="55" spans="1:19" s="150" customFormat="1" ht="20.25" customHeight="1">
      <c r="A55" s="188" t="s">
        <v>140</v>
      </c>
      <c r="B55" s="188" t="s">
        <v>146</v>
      </c>
      <c r="C55" s="195"/>
      <c r="D55" s="183"/>
      <c r="E55" s="183"/>
      <c r="F55" s="183"/>
      <c r="G55" s="183"/>
      <c r="H55" s="200"/>
      <c r="I55" s="200"/>
      <c r="J55" s="200"/>
      <c r="K55" s="200"/>
      <c r="L55" s="200"/>
      <c r="M55" s="200"/>
      <c r="N55" s="200"/>
      <c r="O55" s="173" t="s">
        <v>147</v>
      </c>
      <c r="P55" s="240" t="s">
        <v>14</v>
      </c>
    </row>
    <row r="56" spans="1:19" s="150" customFormat="1" ht="12.6" customHeight="1">
      <c r="A56" s="150" t="s">
        <v>165</v>
      </c>
      <c r="C56" s="195"/>
      <c r="D56" s="183"/>
      <c r="E56" s="183">
        <v>6043.6880000000001</v>
      </c>
      <c r="F56" s="75">
        <v>8130.06</v>
      </c>
      <c r="G56" s="75">
        <v>10519</v>
      </c>
      <c r="H56" s="75">
        <v>11368</v>
      </c>
      <c r="I56" s="75">
        <v>13630</v>
      </c>
      <c r="J56" s="75">
        <v>16106</v>
      </c>
      <c r="K56" s="75">
        <v>19908</v>
      </c>
      <c r="L56" s="75">
        <v>24850</v>
      </c>
      <c r="M56" s="75">
        <f>16751+14242</f>
        <v>30993</v>
      </c>
      <c r="N56" s="75">
        <v>35665.300000000003</v>
      </c>
      <c r="P56" s="234" t="s">
        <v>20</v>
      </c>
    </row>
    <row r="57" spans="1:19" s="150" customFormat="1" ht="12.6" customHeight="1">
      <c r="A57" s="150" t="s">
        <v>166</v>
      </c>
      <c r="C57" s="195"/>
      <c r="D57" s="183"/>
      <c r="E57" s="183">
        <v>9604.4599999999991</v>
      </c>
      <c r="F57" s="75">
        <v>13470</v>
      </c>
      <c r="G57" s="75">
        <v>17803</v>
      </c>
      <c r="H57" s="75">
        <v>19688</v>
      </c>
      <c r="I57" s="75">
        <v>22869</v>
      </c>
      <c r="J57" s="75">
        <v>28285</v>
      </c>
      <c r="K57" s="75">
        <v>35497.9</v>
      </c>
      <c r="L57" s="75">
        <v>41853</v>
      </c>
      <c r="M57" s="75">
        <f>M56+27670</f>
        <v>58663</v>
      </c>
      <c r="N57" s="75">
        <v>66445.7</v>
      </c>
      <c r="P57" s="234" t="s">
        <v>21</v>
      </c>
      <c r="R57" s="241"/>
    </row>
    <row r="58" spans="1:19" s="150" customFormat="1" ht="12.6" customHeight="1">
      <c r="A58" s="150" t="s">
        <v>167</v>
      </c>
      <c r="C58" s="195"/>
      <c r="D58" s="183"/>
      <c r="E58" s="75" t="s">
        <v>61</v>
      </c>
      <c r="F58" s="75" t="s">
        <v>61</v>
      </c>
      <c r="G58" s="75" t="s">
        <v>61</v>
      </c>
      <c r="H58" s="75" t="s">
        <v>61</v>
      </c>
      <c r="I58" s="75" t="s">
        <v>61</v>
      </c>
      <c r="J58" s="75" t="s">
        <v>61</v>
      </c>
      <c r="K58" s="75" t="s">
        <v>61</v>
      </c>
      <c r="L58" s="75" t="s">
        <v>61</v>
      </c>
      <c r="M58" s="75" t="s">
        <v>61</v>
      </c>
      <c r="N58" s="75" t="s">
        <v>61</v>
      </c>
      <c r="P58" s="234" t="s">
        <v>22</v>
      </c>
    </row>
    <row r="59" spans="1:19" s="150" customFormat="1" ht="20.100000000000001" customHeight="1">
      <c r="A59" s="188" t="s">
        <v>118</v>
      </c>
      <c r="B59" s="188" t="s">
        <v>146</v>
      </c>
      <c r="C59" s="190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73" t="s">
        <v>155</v>
      </c>
      <c r="P59" s="189" t="s">
        <v>100</v>
      </c>
    </row>
    <row r="60" spans="1:19" s="150" customFormat="1" ht="12.6" customHeight="1">
      <c r="A60" s="150" t="s">
        <v>165</v>
      </c>
      <c r="C60" s="195">
        <v>552</v>
      </c>
      <c r="D60" s="75">
        <v>550316</v>
      </c>
      <c r="E60" s="75">
        <v>610859</v>
      </c>
      <c r="F60" s="75">
        <v>697700</v>
      </c>
      <c r="G60" s="75">
        <v>687438</v>
      </c>
      <c r="H60" s="75">
        <v>731669</v>
      </c>
      <c r="I60" s="75">
        <v>827260</v>
      </c>
      <c r="J60" s="75">
        <v>916018</v>
      </c>
      <c r="K60" s="75">
        <v>1063509.6254128045</v>
      </c>
      <c r="L60" s="75">
        <v>1069825.7</v>
      </c>
      <c r="M60" s="75" t="s">
        <v>61</v>
      </c>
      <c r="N60" s="75" t="s">
        <v>61</v>
      </c>
      <c r="P60" s="234" t="s">
        <v>20</v>
      </c>
      <c r="Q60" s="234"/>
    </row>
    <row r="61" spans="1:19" s="150" customFormat="1" ht="12.6" customHeight="1">
      <c r="A61" s="150" t="s">
        <v>166</v>
      </c>
      <c r="C61" s="195">
        <v>2356</v>
      </c>
      <c r="D61" s="75">
        <v>946756</v>
      </c>
      <c r="E61" s="75">
        <v>1073550</v>
      </c>
      <c r="F61" s="75">
        <v>1200692</v>
      </c>
      <c r="G61" s="75">
        <v>1310694</v>
      </c>
      <c r="H61" s="75">
        <v>1472608</v>
      </c>
      <c r="I61" s="75">
        <v>1656100</v>
      </c>
      <c r="J61" s="75">
        <v>1810734</v>
      </c>
      <c r="K61" s="75">
        <v>2041039.8949974335</v>
      </c>
      <c r="L61" s="75">
        <v>1906371.5734146019</v>
      </c>
      <c r="M61" s="75" t="s">
        <v>61</v>
      </c>
      <c r="N61" s="75" t="s">
        <v>61</v>
      </c>
      <c r="P61" s="234" t="s">
        <v>21</v>
      </c>
      <c r="Q61" s="234"/>
    </row>
    <row r="62" spans="1:19" s="150" customFormat="1" ht="12.6" customHeight="1">
      <c r="A62" s="150" t="s">
        <v>167</v>
      </c>
      <c r="C62" s="195">
        <v>2783.7</v>
      </c>
      <c r="D62" s="75" t="s">
        <v>61</v>
      </c>
      <c r="E62" s="75" t="s">
        <v>61</v>
      </c>
      <c r="F62" s="75" t="s">
        <v>61</v>
      </c>
      <c r="G62" s="75" t="s">
        <v>61</v>
      </c>
      <c r="H62" s="75" t="s">
        <v>61</v>
      </c>
      <c r="I62" s="75" t="s">
        <v>61</v>
      </c>
      <c r="J62" s="75" t="s">
        <v>61</v>
      </c>
      <c r="K62" s="75" t="s">
        <v>61</v>
      </c>
      <c r="L62" s="75" t="s">
        <v>61</v>
      </c>
      <c r="M62" s="75" t="s">
        <v>61</v>
      </c>
      <c r="N62" s="75" t="s">
        <v>61</v>
      </c>
      <c r="P62" s="234" t="s">
        <v>22</v>
      </c>
      <c r="Q62" s="234"/>
    </row>
    <row r="63" spans="1:19" s="150" customFormat="1" ht="20.100000000000001" customHeight="1">
      <c r="A63" s="188" t="s">
        <v>212</v>
      </c>
      <c r="B63" s="188" t="s">
        <v>144</v>
      </c>
      <c r="C63" s="190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1" t="s">
        <v>145</v>
      </c>
      <c r="P63" s="189" t="s">
        <v>213</v>
      </c>
    </row>
    <row r="64" spans="1:19" s="150" customFormat="1" ht="12.6" customHeight="1">
      <c r="A64" s="150" t="s">
        <v>165</v>
      </c>
      <c r="C64" s="195">
        <v>552</v>
      </c>
      <c r="D64" s="75">
        <v>550316</v>
      </c>
      <c r="E64" s="75">
        <v>610859</v>
      </c>
      <c r="F64" s="75">
        <v>697700</v>
      </c>
      <c r="G64" s="75">
        <v>687438</v>
      </c>
      <c r="H64" s="75">
        <v>731669</v>
      </c>
      <c r="I64" s="75">
        <v>12410</v>
      </c>
      <c r="J64" s="75">
        <v>14302</v>
      </c>
      <c r="K64" s="75">
        <v>15903.5</v>
      </c>
      <c r="L64" s="75">
        <v>19030.5</v>
      </c>
      <c r="M64" s="75">
        <v>20033.914000000001</v>
      </c>
      <c r="N64" s="75">
        <v>20923.178</v>
      </c>
      <c r="P64" s="234" t="s">
        <v>20</v>
      </c>
      <c r="Q64" s="234"/>
    </row>
    <row r="65" spans="1:18" s="150" customFormat="1" ht="12.6" customHeight="1">
      <c r="A65" s="150" t="s">
        <v>166</v>
      </c>
      <c r="C65" s="195">
        <v>2356</v>
      </c>
      <c r="D65" s="75">
        <v>946756</v>
      </c>
      <c r="E65" s="75">
        <v>1073550</v>
      </c>
      <c r="F65" s="75">
        <v>1200692</v>
      </c>
      <c r="G65" s="75">
        <v>1310694</v>
      </c>
      <c r="H65" s="75">
        <v>1472608</v>
      </c>
      <c r="I65" s="75">
        <v>30131.8</v>
      </c>
      <c r="J65" s="75">
        <v>34020.480000000003</v>
      </c>
      <c r="K65" s="75">
        <v>38065</v>
      </c>
      <c r="L65" s="75">
        <v>41604.5</v>
      </c>
      <c r="M65" s="75">
        <v>44718.434000000001</v>
      </c>
      <c r="N65" s="242">
        <v>47895.048000000003</v>
      </c>
      <c r="P65" s="234" t="s">
        <v>21</v>
      </c>
      <c r="Q65" s="234"/>
    </row>
    <row r="66" spans="1:18" s="150" customFormat="1" ht="12.6" customHeight="1">
      <c r="A66" s="150" t="s">
        <v>167</v>
      </c>
      <c r="C66" s="195">
        <v>2783.7</v>
      </c>
      <c r="D66" s="75" t="s">
        <v>61</v>
      </c>
      <c r="E66" s="75" t="s">
        <v>61</v>
      </c>
      <c r="F66" s="75" t="s">
        <v>61</v>
      </c>
      <c r="G66" s="75" t="s">
        <v>61</v>
      </c>
      <c r="H66" s="75" t="s">
        <v>61</v>
      </c>
      <c r="I66" s="75">
        <v>31687</v>
      </c>
      <c r="J66" s="75">
        <v>35729</v>
      </c>
      <c r="K66" s="75">
        <v>39864.699999999997</v>
      </c>
      <c r="L66" s="75">
        <v>43532.7</v>
      </c>
      <c r="M66" s="75">
        <v>46872.349000000002</v>
      </c>
      <c r="N66" s="242">
        <v>50051.898999999998</v>
      </c>
      <c r="P66" s="234" t="s">
        <v>22</v>
      </c>
      <c r="Q66" s="234"/>
    </row>
    <row r="67" spans="1:18" s="150" customFormat="1" ht="20.100000000000001" customHeight="1">
      <c r="A67" s="188" t="s">
        <v>119</v>
      </c>
      <c r="B67" s="188" t="s">
        <v>156</v>
      </c>
      <c r="C67" s="190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73" t="s">
        <v>157</v>
      </c>
      <c r="P67" s="189" t="s">
        <v>129</v>
      </c>
      <c r="Q67" s="189"/>
    </row>
    <row r="68" spans="1:18" s="150" customFormat="1" ht="12.6" customHeight="1">
      <c r="A68" s="150" t="s">
        <v>165</v>
      </c>
      <c r="C68" s="195">
        <v>552</v>
      </c>
      <c r="D68" s="75">
        <v>58262</v>
      </c>
      <c r="E68" s="75">
        <v>80818</v>
      </c>
      <c r="F68" s="75">
        <v>104449</v>
      </c>
      <c r="G68" s="75">
        <v>120019</v>
      </c>
      <c r="H68" s="75">
        <v>181664</v>
      </c>
      <c r="I68" s="75">
        <v>208138</v>
      </c>
      <c r="J68" s="75">
        <v>223482</v>
      </c>
      <c r="K68" s="75">
        <v>232961</v>
      </c>
      <c r="L68" s="75">
        <v>264096</v>
      </c>
      <c r="M68" s="127" t="s">
        <v>222</v>
      </c>
      <c r="N68" s="127">
        <v>379550</v>
      </c>
      <c r="P68" s="234" t="s">
        <v>20</v>
      </c>
      <c r="Q68" s="234"/>
    </row>
    <row r="69" spans="1:18" s="150" customFormat="1" ht="12.6" customHeight="1">
      <c r="A69" s="150" t="s">
        <v>166</v>
      </c>
      <c r="C69" s="195">
        <v>2356</v>
      </c>
      <c r="D69" s="75">
        <v>196550</v>
      </c>
      <c r="E69" s="75">
        <v>242242</v>
      </c>
      <c r="F69" s="75">
        <v>324064</v>
      </c>
      <c r="G69" s="75">
        <v>399293</v>
      </c>
      <c r="H69" s="75">
        <v>565702</v>
      </c>
      <c r="I69" s="75">
        <v>674310</v>
      </c>
      <c r="J69" s="75">
        <v>740618</v>
      </c>
      <c r="K69" s="75">
        <v>786388</v>
      </c>
      <c r="L69" s="75">
        <v>825758</v>
      </c>
      <c r="M69" s="75">
        <v>862374</v>
      </c>
      <c r="N69" s="75">
        <v>1056770</v>
      </c>
      <c r="P69" s="234" t="s">
        <v>21</v>
      </c>
      <c r="Q69" s="234"/>
    </row>
    <row r="70" spans="1:18" s="150" customFormat="1" ht="12.6" customHeight="1">
      <c r="A70" s="150" t="s">
        <v>167</v>
      </c>
      <c r="C70" s="195">
        <v>2783.7</v>
      </c>
      <c r="D70" s="75">
        <v>246892</v>
      </c>
      <c r="E70" s="75">
        <v>304154</v>
      </c>
      <c r="F70" s="75">
        <v>415383</v>
      </c>
      <c r="G70" s="75">
        <v>506641</v>
      </c>
      <c r="H70" s="75">
        <v>696229</v>
      </c>
      <c r="I70" s="75">
        <v>899093</v>
      </c>
      <c r="J70" s="75">
        <v>947780</v>
      </c>
      <c r="K70" s="75">
        <v>985172</v>
      </c>
      <c r="L70" s="75">
        <v>1001357</v>
      </c>
      <c r="M70" s="75">
        <v>1083053</v>
      </c>
      <c r="N70" s="75">
        <v>1219890</v>
      </c>
      <c r="P70" s="234" t="s">
        <v>22</v>
      </c>
      <c r="Q70" s="234"/>
    </row>
    <row r="71" spans="1:18" s="150" customFormat="1" ht="20.100000000000001" customHeight="1">
      <c r="A71" s="188" t="s">
        <v>103</v>
      </c>
      <c r="B71" s="188" t="s">
        <v>151</v>
      </c>
      <c r="C71" s="19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 t="s">
        <v>152</v>
      </c>
      <c r="P71" s="189" t="s">
        <v>115</v>
      </c>
      <c r="Q71" s="189"/>
    </row>
    <row r="72" spans="1:18" s="150" customFormat="1" ht="12.6" customHeight="1">
      <c r="A72" s="150" t="s">
        <v>165</v>
      </c>
      <c r="C72" s="195">
        <v>552</v>
      </c>
      <c r="D72" s="75">
        <v>347465.4</v>
      </c>
      <c r="E72" s="75">
        <v>390541.2</v>
      </c>
      <c r="F72" s="75">
        <v>442463.6</v>
      </c>
      <c r="G72" s="75">
        <v>558460.69999999995</v>
      </c>
      <c r="H72" s="75">
        <v>613748</v>
      </c>
      <c r="I72" s="75">
        <v>680158.6</v>
      </c>
      <c r="J72" s="75">
        <v>758331.4</v>
      </c>
      <c r="K72" s="75">
        <v>786133</v>
      </c>
      <c r="L72" s="75">
        <v>992999.8</v>
      </c>
      <c r="M72" s="75">
        <v>1104820</v>
      </c>
      <c r="N72" s="75">
        <v>1116921.3999999999</v>
      </c>
      <c r="P72" s="234" t="s">
        <v>20</v>
      </c>
      <c r="Q72" s="234"/>
    </row>
    <row r="73" spans="1:18" s="150" customFormat="1" ht="12.6" customHeight="1">
      <c r="A73" s="150" t="s">
        <v>166</v>
      </c>
      <c r="C73" s="195">
        <v>2356</v>
      </c>
      <c r="D73" s="75">
        <v>513985.1</v>
      </c>
      <c r="E73" s="75">
        <v>611550.9</v>
      </c>
      <c r="F73" s="75">
        <v>644817</v>
      </c>
      <c r="G73" s="75">
        <v>855318</v>
      </c>
      <c r="H73" s="75">
        <v>1037589.6</v>
      </c>
      <c r="I73" s="75">
        <v>1197318.8999999999</v>
      </c>
      <c r="J73" s="75">
        <v>1317467.3</v>
      </c>
      <c r="K73" s="75">
        <v>1480588.7</v>
      </c>
      <c r="L73" s="75">
        <v>1275233.2</v>
      </c>
      <c r="M73" s="75">
        <v>1651942.8</v>
      </c>
      <c r="N73" s="75">
        <v>1984980</v>
      </c>
      <c r="P73" s="234" t="s">
        <v>21</v>
      </c>
      <c r="Q73" s="234"/>
      <c r="R73" s="230"/>
    </row>
    <row r="74" spans="1:18" s="150" customFormat="1" ht="12.6" customHeight="1" thickBot="1">
      <c r="A74" s="202" t="s">
        <v>167</v>
      </c>
      <c r="B74" s="202"/>
      <c r="C74" s="243">
        <v>2783.7</v>
      </c>
      <c r="D74" s="76" t="s">
        <v>61</v>
      </c>
      <c r="E74" s="76" t="s">
        <v>61</v>
      </c>
      <c r="F74" s="76" t="s">
        <v>61</v>
      </c>
      <c r="G74" s="76" t="s">
        <v>61</v>
      </c>
      <c r="H74" s="76" t="s">
        <v>61</v>
      </c>
      <c r="I74" s="76" t="s">
        <v>61</v>
      </c>
      <c r="J74" s="76" t="s">
        <v>61</v>
      </c>
      <c r="K74" s="76" t="s">
        <v>61</v>
      </c>
      <c r="L74" s="76" t="s">
        <v>61</v>
      </c>
      <c r="M74" s="76" t="s">
        <v>61</v>
      </c>
      <c r="N74" s="76" t="s">
        <v>61</v>
      </c>
      <c r="O74" s="202"/>
      <c r="P74" s="244" t="s">
        <v>22</v>
      </c>
      <c r="Q74" s="234"/>
    </row>
    <row r="75" spans="1:18" s="214" customFormat="1" ht="14.25" customHeight="1">
      <c r="A75" s="205" t="s">
        <v>125</v>
      </c>
      <c r="B75" s="205"/>
      <c r="C75" s="205"/>
      <c r="D75" s="205"/>
      <c r="E75" s="205"/>
      <c r="F75" s="205"/>
      <c r="G75" s="205"/>
      <c r="H75" s="205"/>
      <c r="I75" s="206"/>
      <c r="J75" s="205"/>
      <c r="K75" s="205"/>
      <c r="L75" s="205"/>
      <c r="M75" s="205"/>
      <c r="N75" s="205"/>
      <c r="O75" s="205"/>
      <c r="P75" s="207" t="s">
        <v>124</v>
      </c>
    </row>
    <row r="76" spans="1:18">
      <c r="A76" s="245"/>
      <c r="B76" s="246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6"/>
      <c r="P76" s="248"/>
    </row>
    <row r="77" spans="1:18">
      <c r="A77" s="245"/>
      <c r="B77" s="20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50"/>
      <c r="P77" s="251"/>
    </row>
    <row r="78" spans="1:18"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3"/>
      <c r="P78" s="254"/>
    </row>
    <row r="79" spans="1:18"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3"/>
      <c r="P79" s="255"/>
    </row>
    <row r="80" spans="1:18"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3"/>
      <c r="P80" s="255"/>
    </row>
    <row r="81" spans="3:16"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3"/>
      <c r="P81" s="255"/>
    </row>
    <row r="82" spans="3:16"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3"/>
      <c r="P82" s="255"/>
    </row>
    <row r="83" spans="3:16"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3"/>
      <c r="P83" s="255"/>
    </row>
    <row r="84" spans="3:16"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3"/>
      <c r="P84" s="255"/>
    </row>
    <row r="85" spans="3:16"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3"/>
      <c r="P85" s="255"/>
    </row>
    <row r="86" spans="3:16"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3"/>
      <c r="P86" s="254"/>
    </row>
    <row r="87" spans="3:16"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3"/>
      <c r="P87" s="255"/>
    </row>
    <row r="88" spans="3:16"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3"/>
      <c r="P88" s="255"/>
    </row>
    <row r="89" spans="3:16"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3"/>
      <c r="P89" s="255"/>
    </row>
    <row r="90" spans="3:16"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3"/>
      <c r="P90" s="255"/>
    </row>
    <row r="91" spans="3:16"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3"/>
      <c r="P91" s="255"/>
    </row>
    <row r="92" spans="3:16"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3"/>
      <c r="P92" s="255"/>
    </row>
    <row r="93" spans="3:16"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3"/>
      <c r="P93" s="255"/>
    </row>
    <row r="94" spans="3:16"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3"/>
      <c r="P94" s="255"/>
    </row>
    <row r="95" spans="3:16"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3"/>
      <c r="P95" s="255"/>
    </row>
    <row r="96" spans="3:16"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255"/>
    </row>
    <row r="97" spans="3:16"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3"/>
      <c r="P97" s="255"/>
    </row>
    <row r="98" spans="3:16"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3"/>
      <c r="P98" s="255"/>
    </row>
    <row r="99" spans="3:16"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3"/>
      <c r="P99" s="255"/>
    </row>
    <row r="100" spans="3:16"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3"/>
      <c r="P100" s="254"/>
    </row>
    <row r="101" spans="3:16"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3"/>
      <c r="P101" s="255"/>
    </row>
    <row r="102" spans="3:16"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3"/>
      <c r="P102" s="255"/>
    </row>
    <row r="103" spans="3:16"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3"/>
      <c r="P103" s="255"/>
    </row>
    <row r="104" spans="3:16"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3"/>
      <c r="P104" s="255"/>
    </row>
    <row r="105" spans="3:16"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3"/>
      <c r="P105" s="255"/>
    </row>
    <row r="106" spans="3:16"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3"/>
      <c r="P106" s="255"/>
    </row>
    <row r="107" spans="3:16"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3"/>
      <c r="P107" s="255"/>
    </row>
    <row r="108" spans="3:16"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3"/>
      <c r="P108" s="255"/>
    </row>
    <row r="109" spans="3:16"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3"/>
      <c r="P109" s="255"/>
    </row>
    <row r="110" spans="3:16"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3"/>
      <c r="P110" s="255"/>
    </row>
    <row r="111" spans="3:16"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3"/>
      <c r="P111" s="255"/>
    </row>
    <row r="112" spans="3:16"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3"/>
      <c r="P112" s="255"/>
    </row>
    <row r="113" spans="3:16"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255"/>
    </row>
    <row r="114" spans="3:16"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3"/>
      <c r="P114" s="255"/>
    </row>
    <row r="115" spans="3:16"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3"/>
      <c r="P115" s="255"/>
    </row>
    <row r="116" spans="3:16"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3"/>
      <c r="P116" s="255"/>
    </row>
    <row r="117" spans="3:16"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3"/>
      <c r="P117" s="255"/>
    </row>
    <row r="118" spans="3:16"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255"/>
    </row>
    <row r="119" spans="3:16"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3"/>
      <c r="P119" s="255"/>
    </row>
    <row r="120" spans="3:16"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3"/>
      <c r="P120" s="255"/>
    </row>
    <row r="121" spans="3:16"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3"/>
      <c r="P121" s="255"/>
    </row>
    <row r="122" spans="3:16"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3"/>
      <c r="P122" s="254"/>
    </row>
    <row r="123" spans="3:16"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3"/>
      <c r="P123" s="254"/>
    </row>
    <row r="124" spans="3:16"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3"/>
      <c r="P124" s="255"/>
    </row>
    <row r="125" spans="3:16"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3"/>
      <c r="P125" s="254"/>
    </row>
    <row r="126" spans="3:16"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3"/>
      <c r="P126" s="254"/>
    </row>
    <row r="127" spans="3:16"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3"/>
      <c r="P127" s="254"/>
    </row>
    <row r="128" spans="3:16"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3"/>
      <c r="P128" s="255"/>
    </row>
    <row r="129" spans="3:16"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3"/>
      <c r="P129" s="255"/>
    </row>
    <row r="130" spans="3:16"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3"/>
      <c r="P130" s="255"/>
    </row>
    <row r="131" spans="3:16"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3"/>
      <c r="P131" s="255"/>
    </row>
    <row r="132" spans="3:16"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3"/>
      <c r="P132" s="255"/>
    </row>
    <row r="133" spans="3:16"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3"/>
      <c r="P133" s="255"/>
    </row>
    <row r="134" spans="3:16"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3"/>
      <c r="P134" s="255"/>
    </row>
    <row r="135" spans="3:16"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3"/>
      <c r="P135" s="255"/>
    </row>
    <row r="136" spans="3:16"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3"/>
      <c r="P136" s="255"/>
    </row>
    <row r="137" spans="3:16"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3"/>
      <c r="P137" s="255"/>
    </row>
    <row r="138" spans="3:16"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3"/>
      <c r="P138" s="255"/>
    </row>
    <row r="139" spans="3:16"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3"/>
      <c r="P139" s="255"/>
    </row>
    <row r="140" spans="3:16"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3"/>
      <c r="P140" s="255"/>
    </row>
    <row r="141" spans="3:16"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3"/>
      <c r="P141" s="255"/>
    </row>
    <row r="142" spans="3:16"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3"/>
      <c r="P142" s="254"/>
    </row>
    <row r="143" spans="3:16"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3"/>
      <c r="P143" s="255"/>
    </row>
    <row r="144" spans="3:16"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3"/>
      <c r="P144" s="256"/>
    </row>
    <row r="145" spans="3:16"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3"/>
      <c r="P145" s="256"/>
    </row>
    <row r="146" spans="3:16"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3"/>
      <c r="P146" s="256"/>
    </row>
    <row r="147" spans="3:16"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3"/>
      <c r="P147" s="256"/>
    </row>
    <row r="148" spans="3:16"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3"/>
      <c r="P148" s="257"/>
    </row>
    <row r="149" spans="3:16"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3"/>
      <c r="P149" s="257"/>
    </row>
    <row r="150" spans="3:16"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3"/>
      <c r="P150" s="257"/>
    </row>
    <row r="151" spans="3:16"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3"/>
      <c r="P151" s="257"/>
    </row>
    <row r="152" spans="3:16"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3"/>
      <c r="P152" s="257"/>
    </row>
    <row r="153" spans="3:16"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3"/>
      <c r="P153" s="257"/>
    </row>
    <row r="154" spans="3:16"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3"/>
      <c r="P154" s="257"/>
    </row>
    <row r="155" spans="3:16"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3"/>
      <c r="P155" s="257"/>
    </row>
    <row r="156" spans="3:16"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3"/>
      <c r="P156" s="257"/>
    </row>
    <row r="157" spans="3:16"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3"/>
      <c r="P157" s="257"/>
    </row>
    <row r="158" spans="3:16"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3"/>
      <c r="P158" s="257"/>
    </row>
    <row r="159" spans="3:16"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3"/>
      <c r="P159" s="257"/>
    </row>
    <row r="160" spans="3:16"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3"/>
      <c r="P160" s="257"/>
    </row>
    <row r="161" spans="3:16"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3"/>
      <c r="P161" s="257"/>
    </row>
    <row r="162" spans="3:16"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257"/>
    </row>
    <row r="163" spans="3:16"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3"/>
      <c r="P163" s="257"/>
    </row>
    <row r="164" spans="3:16"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3"/>
      <c r="P164" s="257"/>
    </row>
    <row r="165" spans="3:16"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3"/>
      <c r="P165" s="257"/>
    </row>
    <row r="166" spans="3:16"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3"/>
      <c r="P166" s="257"/>
    </row>
    <row r="167" spans="3:16"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3"/>
      <c r="P167" s="257"/>
    </row>
    <row r="168" spans="3:16"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3"/>
      <c r="P168" s="257"/>
    </row>
    <row r="169" spans="3:16"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3"/>
      <c r="P169" s="257"/>
    </row>
    <row r="170" spans="3:16"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3"/>
      <c r="P170" s="257"/>
    </row>
    <row r="171" spans="3:16"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3"/>
      <c r="P171" s="257"/>
    </row>
    <row r="172" spans="3:16"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3"/>
      <c r="P172" s="257"/>
    </row>
    <row r="173" spans="3:16"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3"/>
      <c r="P173" s="257"/>
    </row>
    <row r="174" spans="3:16"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3"/>
      <c r="P174" s="257"/>
    </row>
    <row r="175" spans="3:16"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3"/>
      <c r="P175" s="257"/>
    </row>
    <row r="176" spans="3:16"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3"/>
      <c r="P176" s="257"/>
    </row>
    <row r="177" spans="3:16"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3"/>
      <c r="P177" s="257"/>
    </row>
    <row r="178" spans="3:16"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3"/>
      <c r="P178" s="257"/>
    </row>
    <row r="179" spans="3:16"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3"/>
      <c r="P179" s="257"/>
    </row>
    <row r="180" spans="3:16"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3"/>
      <c r="P180" s="257"/>
    </row>
    <row r="181" spans="3:16"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3"/>
      <c r="P181" s="257"/>
    </row>
    <row r="182" spans="3:16"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3"/>
      <c r="P182" s="257"/>
    </row>
    <row r="183" spans="3:16"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3"/>
      <c r="P183" s="257"/>
    </row>
    <row r="184" spans="3:16"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257"/>
    </row>
    <row r="185" spans="3:16"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3"/>
      <c r="P185" s="257"/>
    </row>
    <row r="186" spans="3:16"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3"/>
      <c r="P186" s="257"/>
    </row>
    <row r="187" spans="3:16"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3"/>
      <c r="P187" s="257"/>
    </row>
    <row r="188" spans="3:16"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3"/>
      <c r="P188" s="257"/>
    </row>
    <row r="189" spans="3:16"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3"/>
      <c r="P189" s="257"/>
    </row>
    <row r="190" spans="3:16"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3"/>
      <c r="P190" s="257"/>
    </row>
    <row r="191" spans="3:16"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3"/>
      <c r="P191" s="257"/>
    </row>
    <row r="192" spans="3:16"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3"/>
      <c r="P192" s="257"/>
    </row>
    <row r="193" spans="3:16"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3"/>
      <c r="P193" s="257"/>
    </row>
    <row r="194" spans="3:16"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3"/>
      <c r="P194" s="257"/>
    </row>
    <row r="195" spans="3:16"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3"/>
      <c r="P195" s="257"/>
    </row>
    <row r="196" spans="3:16"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3"/>
      <c r="P196" s="257"/>
    </row>
    <row r="197" spans="3:16"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3"/>
      <c r="P197" s="257"/>
    </row>
    <row r="198" spans="3:16"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3"/>
      <c r="P198" s="257"/>
    </row>
    <row r="199" spans="3:16"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3"/>
      <c r="P199" s="257"/>
    </row>
    <row r="200" spans="3:16"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3"/>
      <c r="P200" s="257"/>
    </row>
    <row r="201" spans="3:16"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3"/>
      <c r="P201" s="257"/>
    </row>
    <row r="202" spans="3:16"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3"/>
      <c r="P202" s="257"/>
    </row>
    <row r="203" spans="3:16"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3"/>
      <c r="P203" s="257"/>
    </row>
    <row r="204" spans="3:16"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3"/>
      <c r="P204" s="257"/>
    </row>
    <row r="205" spans="3:16"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3"/>
      <c r="P205" s="257"/>
    </row>
    <row r="206" spans="3:16"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257"/>
    </row>
    <row r="207" spans="3:16"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3"/>
      <c r="P207" s="257"/>
    </row>
    <row r="208" spans="3:16"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3"/>
      <c r="P208" s="257"/>
    </row>
    <row r="209" spans="3:16"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3"/>
      <c r="P209" s="257"/>
    </row>
    <row r="210" spans="3:16"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3"/>
      <c r="P210" s="257"/>
    </row>
    <row r="211" spans="3:16"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3"/>
      <c r="P211" s="257"/>
    </row>
    <row r="212" spans="3:16"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3"/>
      <c r="P212" s="257"/>
    </row>
    <row r="213" spans="3:16"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3"/>
      <c r="P213" s="257"/>
    </row>
    <row r="214" spans="3:16"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3"/>
      <c r="P214" s="257"/>
    </row>
    <row r="215" spans="3:16"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3"/>
      <c r="P215" s="257"/>
    </row>
    <row r="216" spans="3:16"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3"/>
      <c r="P216" s="257"/>
    </row>
    <row r="217" spans="3:16"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3"/>
      <c r="P217" s="257"/>
    </row>
    <row r="218" spans="3:16"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3"/>
      <c r="P218" s="257"/>
    </row>
    <row r="219" spans="3:16"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3"/>
      <c r="P219" s="257"/>
    </row>
    <row r="220" spans="3:16"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3"/>
      <c r="P220" s="257"/>
    </row>
    <row r="221" spans="3:16"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3"/>
      <c r="P221" s="257"/>
    </row>
    <row r="222" spans="3:16"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3"/>
      <c r="P222" s="257"/>
    </row>
    <row r="223" spans="3:16"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3"/>
      <c r="P223" s="257"/>
    </row>
    <row r="224" spans="3:16"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3"/>
      <c r="P224" s="257"/>
    </row>
    <row r="225" spans="3:16"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3"/>
      <c r="P225" s="257"/>
    </row>
    <row r="226" spans="3:16"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3"/>
      <c r="P226" s="257"/>
    </row>
    <row r="227" spans="3:16"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3"/>
      <c r="P227" s="257"/>
    </row>
    <row r="228" spans="3:16"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257"/>
    </row>
    <row r="229" spans="3:16"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3"/>
      <c r="P229" s="257"/>
    </row>
    <row r="230" spans="3:16"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3"/>
      <c r="P230" s="257"/>
    </row>
    <row r="231" spans="3:16"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3"/>
      <c r="P231" s="257"/>
    </row>
    <row r="232" spans="3:16"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3"/>
      <c r="P232" s="257"/>
    </row>
    <row r="233" spans="3:16"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3"/>
      <c r="P233" s="257"/>
    </row>
    <row r="234" spans="3:16"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3"/>
      <c r="P234" s="257"/>
    </row>
    <row r="235" spans="3:16"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3"/>
      <c r="P235" s="257"/>
    </row>
    <row r="236" spans="3:16"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3"/>
      <c r="P236" s="257"/>
    </row>
    <row r="237" spans="3:16"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3"/>
      <c r="P237" s="257"/>
    </row>
    <row r="238" spans="3:16"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3"/>
      <c r="P238" s="257"/>
    </row>
    <row r="239" spans="3:16"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3"/>
      <c r="P239" s="257"/>
    </row>
    <row r="240" spans="3:16"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3"/>
      <c r="P240" s="257"/>
    </row>
    <row r="241" spans="3:16"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3"/>
      <c r="P241" s="257"/>
    </row>
    <row r="242" spans="3:16"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3"/>
      <c r="P242" s="257"/>
    </row>
    <row r="243" spans="3:16"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3"/>
      <c r="P243" s="257"/>
    </row>
    <row r="244" spans="3:16"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3"/>
      <c r="P244" s="257"/>
    </row>
    <row r="245" spans="3:16"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3"/>
      <c r="P245" s="257"/>
    </row>
    <row r="246" spans="3:16">
      <c r="C246" s="252"/>
      <c r="D246" s="252"/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3"/>
      <c r="P246" s="257"/>
    </row>
    <row r="247" spans="3:16">
      <c r="C247" s="252"/>
      <c r="D247" s="252"/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3"/>
      <c r="P247" s="257"/>
    </row>
    <row r="248" spans="3:16"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3"/>
      <c r="P248" s="257"/>
    </row>
    <row r="249" spans="3:16"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3"/>
      <c r="P249" s="257"/>
    </row>
    <row r="250" spans="3:16"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257"/>
    </row>
    <row r="251" spans="3:16"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3"/>
      <c r="P251" s="257"/>
    </row>
    <row r="252" spans="3:16"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3"/>
      <c r="P252" s="257"/>
    </row>
    <row r="253" spans="3:16">
      <c r="C253" s="252"/>
      <c r="D253" s="252"/>
      <c r="E253" s="252"/>
      <c r="F253" s="252"/>
      <c r="G253" s="252"/>
      <c r="H253" s="252"/>
      <c r="I253" s="252"/>
      <c r="J253" s="252"/>
      <c r="K253" s="252"/>
      <c r="L253" s="252"/>
      <c r="M253" s="252"/>
      <c r="N253" s="252"/>
      <c r="O253" s="253"/>
      <c r="P253" s="257"/>
    </row>
    <row r="254" spans="3:16"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3"/>
      <c r="P254" s="257"/>
    </row>
    <row r="255" spans="3:16">
      <c r="C255" s="252"/>
      <c r="D255" s="252"/>
      <c r="E255" s="252"/>
      <c r="F255" s="252"/>
      <c r="G255" s="252"/>
      <c r="H255" s="252"/>
      <c r="I255" s="252"/>
      <c r="J255" s="252"/>
      <c r="K255" s="252"/>
      <c r="L255" s="252"/>
      <c r="M255" s="252"/>
      <c r="N255" s="252"/>
      <c r="O255" s="253"/>
      <c r="P255" s="257"/>
    </row>
    <row r="256" spans="3:16"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3"/>
      <c r="P256" s="257"/>
    </row>
    <row r="257" spans="3:16"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3"/>
      <c r="P257" s="257"/>
    </row>
    <row r="258" spans="3:16">
      <c r="C258" s="252"/>
      <c r="D258" s="252"/>
      <c r="E258" s="252"/>
      <c r="F258" s="252"/>
      <c r="G258" s="252"/>
      <c r="H258" s="252"/>
      <c r="I258" s="252"/>
      <c r="J258" s="252"/>
      <c r="K258" s="252"/>
      <c r="L258" s="252"/>
      <c r="M258" s="252"/>
      <c r="N258" s="252"/>
      <c r="O258" s="253"/>
      <c r="P258" s="257"/>
    </row>
    <row r="259" spans="3:16">
      <c r="C259" s="252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252"/>
      <c r="O259" s="253"/>
      <c r="P259" s="257"/>
    </row>
    <row r="260" spans="3:16">
      <c r="C260" s="252"/>
      <c r="D260" s="252"/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3"/>
      <c r="P260" s="257"/>
    </row>
    <row r="261" spans="3:16">
      <c r="C261" s="252"/>
      <c r="D261" s="252"/>
      <c r="E261" s="252"/>
      <c r="F261" s="252"/>
      <c r="G261" s="252"/>
      <c r="H261" s="252"/>
      <c r="I261" s="252"/>
      <c r="J261" s="252"/>
      <c r="K261" s="252"/>
      <c r="L261" s="252"/>
      <c r="M261" s="252"/>
      <c r="N261" s="252"/>
      <c r="O261" s="253"/>
      <c r="P261" s="257"/>
    </row>
    <row r="262" spans="3:16"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3"/>
      <c r="P262" s="257"/>
    </row>
    <row r="263" spans="3:16"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3"/>
      <c r="P263" s="257"/>
    </row>
    <row r="264" spans="3:16"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3"/>
      <c r="P264" s="257"/>
    </row>
    <row r="265" spans="3:16">
      <c r="C265" s="252"/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  <c r="N265" s="252"/>
      <c r="O265" s="253"/>
      <c r="P265" s="253"/>
    </row>
    <row r="266" spans="3:16">
      <c r="C266" s="252"/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  <c r="N266" s="252"/>
      <c r="O266" s="253"/>
      <c r="P266" s="253"/>
    </row>
    <row r="267" spans="3:16">
      <c r="C267" s="252"/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  <c r="N267" s="252"/>
      <c r="O267" s="253"/>
      <c r="P267" s="253"/>
    </row>
    <row r="268" spans="3:16">
      <c r="C268" s="252"/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  <c r="N268" s="252"/>
      <c r="O268" s="253"/>
      <c r="P268" s="253"/>
    </row>
    <row r="269" spans="3:16">
      <c r="C269" s="252"/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  <c r="N269" s="252"/>
      <c r="O269" s="253"/>
      <c r="P269" s="253"/>
    </row>
    <row r="270" spans="3:16">
      <c r="C270" s="252"/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  <c r="O270" s="253"/>
      <c r="P270" s="253"/>
    </row>
    <row r="271" spans="3:16">
      <c r="C271" s="252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  <c r="N271" s="252"/>
      <c r="O271" s="253"/>
      <c r="P271" s="253"/>
    </row>
    <row r="272" spans="3:16">
      <c r="C272" s="252"/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253"/>
    </row>
    <row r="273" spans="3:16">
      <c r="C273" s="252"/>
      <c r="D273" s="252"/>
      <c r="E273" s="252"/>
      <c r="F273" s="252"/>
      <c r="G273" s="252"/>
      <c r="H273" s="252"/>
      <c r="I273" s="252"/>
      <c r="J273" s="252"/>
      <c r="K273" s="252"/>
      <c r="L273" s="252"/>
      <c r="M273" s="252"/>
      <c r="N273" s="252"/>
      <c r="O273" s="253"/>
      <c r="P273" s="253"/>
    </row>
    <row r="274" spans="3:16">
      <c r="C274" s="252"/>
      <c r="D274" s="252"/>
      <c r="E274" s="252"/>
      <c r="F274" s="252"/>
      <c r="G274" s="252"/>
      <c r="H274" s="252"/>
      <c r="I274" s="252"/>
      <c r="J274" s="252"/>
      <c r="K274" s="252"/>
      <c r="L274" s="252"/>
      <c r="M274" s="252"/>
      <c r="N274" s="252"/>
      <c r="O274" s="253"/>
      <c r="P274" s="253"/>
    </row>
    <row r="275" spans="3:16"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3"/>
      <c r="P275" s="253"/>
    </row>
    <row r="276" spans="3:16">
      <c r="C276" s="252"/>
      <c r="D276" s="252"/>
      <c r="E276" s="252"/>
      <c r="F276" s="252"/>
      <c r="G276" s="252"/>
      <c r="H276" s="252"/>
      <c r="I276" s="252"/>
      <c r="J276" s="252"/>
      <c r="K276" s="252"/>
      <c r="L276" s="252"/>
      <c r="M276" s="252"/>
      <c r="N276" s="252"/>
      <c r="O276" s="253"/>
      <c r="P276" s="253"/>
    </row>
    <row r="277" spans="3:16">
      <c r="C277" s="252"/>
      <c r="D277" s="252"/>
      <c r="E277" s="252"/>
      <c r="F277" s="252"/>
      <c r="G277" s="252"/>
      <c r="H277" s="252"/>
      <c r="I277" s="252"/>
      <c r="J277" s="252"/>
      <c r="K277" s="252"/>
      <c r="L277" s="252"/>
      <c r="M277" s="252"/>
      <c r="N277" s="252"/>
      <c r="O277" s="253"/>
      <c r="P277" s="253"/>
    </row>
    <row r="278" spans="3:16">
      <c r="C278" s="252"/>
      <c r="D278" s="252"/>
      <c r="E278" s="252"/>
      <c r="F278" s="252"/>
      <c r="G278" s="252"/>
      <c r="H278" s="252"/>
      <c r="I278" s="252"/>
      <c r="J278" s="252"/>
      <c r="K278" s="252"/>
      <c r="L278" s="252"/>
      <c r="M278" s="252"/>
      <c r="N278" s="252"/>
      <c r="O278" s="253"/>
      <c r="P278" s="253"/>
    </row>
    <row r="279" spans="3:16">
      <c r="C279" s="252"/>
      <c r="D279" s="252"/>
      <c r="E279" s="252"/>
      <c r="F279" s="252"/>
      <c r="G279" s="252"/>
      <c r="H279" s="252"/>
      <c r="I279" s="252"/>
      <c r="J279" s="252"/>
      <c r="K279" s="252"/>
      <c r="L279" s="252"/>
      <c r="M279" s="252"/>
      <c r="N279" s="252"/>
      <c r="O279" s="253"/>
      <c r="P279" s="253"/>
    </row>
    <row r="280" spans="3:16">
      <c r="C280" s="252"/>
      <c r="D280" s="252"/>
      <c r="E280" s="252"/>
      <c r="F280" s="252"/>
      <c r="G280" s="252"/>
      <c r="H280" s="252"/>
      <c r="I280" s="252"/>
      <c r="J280" s="252"/>
      <c r="K280" s="252"/>
      <c r="L280" s="252"/>
      <c r="M280" s="252"/>
      <c r="N280" s="252"/>
      <c r="O280" s="253"/>
      <c r="P280" s="253"/>
    </row>
    <row r="281" spans="3:16">
      <c r="C281" s="252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252"/>
      <c r="O281" s="253"/>
      <c r="P281" s="253"/>
    </row>
    <row r="282" spans="3:16"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252"/>
      <c r="O282" s="253"/>
      <c r="P282" s="253"/>
    </row>
    <row r="283" spans="3:16">
      <c r="C283" s="252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3"/>
      <c r="P283" s="253"/>
    </row>
    <row r="284" spans="3:16">
      <c r="C284" s="252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252"/>
      <c r="O284" s="253"/>
      <c r="P284" s="253"/>
    </row>
    <row r="285" spans="3:16"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252"/>
      <c r="O285" s="253"/>
      <c r="P285" s="253"/>
    </row>
    <row r="286" spans="3:16"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252"/>
      <c r="N286" s="252"/>
      <c r="O286" s="253"/>
      <c r="P286" s="253"/>
    </row>
    <row r="287" spans="3:16"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252"/>
      <c r="O287" s="253"/>
      <c r="P287" s="253"/>
    </row>
    <row r="288" spans="3:16"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3"/>
      <c r="P288" s="253"/>
    </row>
    <row r="289" spans="3:16"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3"/>
      <c r="P289" s="253"/>
    </row>
    <row r="290" spans="3:16">
      <c r="C290" s="252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252"/>
      <c r="O290" s="253"/>
      <c r="P290" s="253"/>
    </row>
    <row r="291" spans="3:16"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  <c r="M291" s="252"/>
      <c r="N291" s="252"/>
      <c r="O291" s="253"/>
      <c r="P291" s="253"/>
    </row>
    <row r="292" spans="3:16">
      <c r="C292" s="252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3"/>
      <c r="P292" s="253"/>
    </row>
    <row r="293" spans="3:16"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3"/>
      <c r="P293" s="253"/>
    </row>
    <row r="294" spans="3:16">
      <c r="C294" s="252"/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253"/>
    </row>
    <row r="295" spans="3:16"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3"/>
      <c r="P295" s="253"/>
    </row>
    <row r="296" spans="3:16"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3"/>
      <c r="P296" s="253"/>
    </row>
    <row r="297" spans="3:16">
      <c r="C297" s="252"/>
      <c r="D297" s="252"/>
      <c r="E297" s="252"/>
      <c r="F297" s="252"/>
      <c r="G297" s="252"/>
      <c r="H297" s="252"/>
      <c r="I297" s="252"/>
      <c r="J297" s="252"/>
      <c r="K297" s="252"/>
      <c r="L297" s="252"/>
      <c r="M297" s="252"/>
      <c r="N297" s="252"/>
      <c r="O297" s="253"/>
      <c r="P297" s="253"/>
    </row>
    <row r="298" spans="3:16">
      <c r="C298" s="252"/>
      <c r="D298" s="252"/>
      <c r="E298" s="252"/>
      <c r="F298" s="252"/>
      <c r="G298" s="252"/>
      <c r="H298" s="252"/>
      <c r="I298" s="252"/>
      <c r="J298" s="252"/>
      <c r="K298" s="252"/>
      <c r="L298" s="252"/>
      <c r="M298" s="252"/>
      <c r="N298" s="252"/>
      <c r="O298" s="253"/>
      <c r="P298" s="253"/>
    </row>
    <row r="299" spans="3:16">
      <c r="C299" s="252"/>
      <c r="D299" s="252"/>
      <c r="E299" s="252"/>
      <c r="F299" s="252"/>
      <c r="G299" s="252"/>
      <c r="H299" s="252"/>
      <c r="I299" s="252"/>
      <c r="J299" s="252"/>
      <c r="K299" s="252"/>
      <c r="L299" s="252"/>
      <c r="M299" s="252"/>
      <c r="N299" s="252"/>
      <c r="O299" s="253"/>
      <c r="P299" s="253"/>
    </row>
    <row r="300" spans="3:16">
      <c r="C300" s="252"/>
      <c r="D300" s="252"/>
      <c r="E300" s="252"/>
      <c r="F300" s="252"/>
      <c r="G300" s="252"/>
      <c r="H300" s="252"/>
      <c r="I300" s="252"/>
      <c r="J300" s="252"/>
      <c r="K300" s="252"/>
      <c r="L300" s="252"/>
      <c r="M300" s="252"/>
      <c r="N300" s="252"/>
      <c r="O300" s="253"/>
      <c r="P300" s="253"/>
    </row>
    <row r="301" spans="3:16"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3"/>
      <c r="P301" s="253"/>
    </row>
    <row r="302" spans="3:16"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3"/>
      <c r="P302" s="253"/>
    </row>
    <row r="303" spans="3:16"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3"/>
      <c r="P303" s="253"/>
    </row>
    <row r="304" spans="3:16"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2"/>
      <c r="O304" s="253"/>
      <c r="P304" s="253"/>
    </row>
    <row r="305" spans="3:16">
      <c r="C305" s="252"/>
      <c r="D305" s="252"/>
      <c r="E305" s="252"/>
      <c r="F305" s="252"/>
      <c r="G305" s="252"/>
      <c r="H305" s="252"/>
      <c r="I305" s="252"/>
      <c r="J305" s="252"/>
      <c r="K305" s="252"/>
      <c r="L305" s="252"/>
      <c r="M305" s="252"/>
      <c r="N305" s="252"/>
      <c r="O305" s="253"/>
      <c r="P305" s="253"/>
    </row>
    <row r="306" spans="3:16">
      <c r="C306" s="252"/>
      <c r="D306" s="252"/>
      <c r="E306" s="252"/>
      <c r="F306" s="252"/>
      <c r="G306" s="252"/>
      <c r="H306" s="252"/>
      <c r="I306" s="252"/>
      <c r="J306" s="252"/>
      <c r="K306" s="252"/>
      <c r="L306" s="252"/>
      <c r="M306" s="252"/>
      <c r="N306" s="252"/>
      <c r="O306" s="253"/>
      <c r="P306" s="253"/>
    </row>
    <row r="307" spans="3:16">
      <c r="C307" s="252"/>
      <c r="D307" s="252"/>
      <c r="E307" s="252"/>
      <c r="F307" s="252"/>
      <c r="G307" s="252"/>
      <c r="H307" s="252"/>
      <c r="I307" s="252"/>
      <c r="J307" s="252"/>
      <c r="K307" s="252"/>
      <c r="L307" s="252"/>
      <c r="M307" s="252"/>
      <c r="N307" s="252"/>
      <c r="O307" s="253"/>
      <c r="P307" s="253"/>
    </row>
    <row r="308" spans="3:16"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3"/>
      <c r="P308" s="253"/>
    </row>
    <row r="309" spans="3:16">
      <c r="C309" s="252"/>
      <c r="D309" s="252"/>
      <c r="E309" s="252"/>
      <c r="F309" s="252"/>
      <c r="G309" s="252"/>
      <c r="H309" s="252"/>
      <c r="I309" s="252"/>
      <c r="J309" s="252"/>
      <c r="K309" s="252"/>
      <c r="L309" s="252"/>
      <c r="M309" s="252"/>
      <c r="N309" s="252"/>
      <c r="O309" s="253"/>
      <c r="P309" s="253"/>
    </row>
    <row r="310" spans="3:16">
      <c r="C310" s="252"/>
      <c r="D310" s="252"/>
      <c r="E310" s="252"/>
      <c r="F310" s="252"/>
      <c r="G310" s="252"/>
      <c r="H310" s="252"/>
      <c r="I310" s="252"/>
      <c r="J310" s="252"/>
      <c r="K310" s="252"/>
      <c r="L310" s="252"/>
      <c r="M310" s="252"/>
      <c r="N310" s="252"/>
      <c r="O310" s="253"/>
      <c r="P310" s="253"/>
    </row>
    <row r="311" spans="3:16"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3"/>
      <c r="P311" s="253"/>
    </row>
    <row r="312" spans="3:16">
      <c r="C312" s="252"/>
      <c r="D312" s="252"/>
      <c r="E312" s="252"/>
      <c r="F312" s="252"/>
      <c r="G312" s="252"/>
      <c r="H312" s="252"/>
      <c r="I312" s="252"/>
      <c r="J312" s="252"/>
      <c r="K312" s="252"/>
      <c r="L312" s="252"/>
      <c r="M312" s="252"/>
      <c r="N312" s="252"/>
      <c r="O312" s="253"/>
      <c r="P312" s="253"/>
    </row>
    <row r="313" spans="3:16">
      <c r="C313" s="252"/>
      <c r="D313" s="252"/>
      <c r="E313" s="252"/>
      <c r="F313" s="252"/>
      <c r="G313" s="252"/>
      <c r="H313" s="252"/>
      <c r="I313" s="252"/>
      <c r="J313" s="252"/>
      <c r="K313" s="252"/>
      <c r="L313" s="252"/>
      <c r="M313" s="252"/>
      <c r="N313" s="252"/>
      <c r="O313" s="253"/>
      <c r="P313" s="253"/>
    </row>
    <row r="314" spans="3:16">
      <c r="C314" s="252"/>
      <c r="D314" s="252"/>
      <c r="E314" s="252"/>
      <c r="F314" s="252"/>
      <c r="G314" s="252"/>
      <c r="H314" s="252"/>
      <c r="I314" s="252"/>
      <c r="J314" s="252"/>
      <c r="K314" s="252"/>
      <c r="L314" s="252"/>
      <c r="M314" s="252"/>
      <c r="N314" s="252"/>
      <c r="O314" s="253"/>
      <c r="P314" s="253"/>
    </row>
    <row r="315" spans="3:16">
      <c r="C315" s="252"/>
      <c r="D315" s="252"/>
      <c r="E315" s="252"/>
      <c r="F315" s="252"/>
      <c r="G315" s="252"/>
      <c r="H315" s="252"/>
      <c r="I315" s="252"/>
      <c r="J315" s="252"/>
      <c r="K315" s="252"/>
      <c r="L315" s="252"/>
      <c r="M315" s="252"/>
      <c r="N315" s="252"/>
      <c r="O315" s="253"/>
      <c r="P315" s="253"/>
    </row>
    <row r="316" spans="3:16">
      <c r="C316" s="252"/>
      <c r="D316" s="252"/>
      <c r="E316" s="252"/>
      <c r="F316" s="252"/>
      <c r="G316" s="252"/>
      <c r="H316" s="252"/>
      <c r="I316" s="252"/>
      <c r="J316" s="252"/>
      <c r="K316" s="252"/>
      <c r="L316" s="252"/>
      <c r="M316" s="252"/>
      <c r="N316" s="252"/>
      <c r="O316" s="253"/>
      <c r="P316" s="253"/>
    </row>
    <row r="317" spans="3:16">
      <c r="C317" s="252"/>
      <c r="D317" s="252"/>
      <c r="E317" s="252"/>
      <c r="F317" s="252"/>
      <c r="G317" s="252"/>
      <c r="H317" s="252"/>
      <c r="I317" s="252"/>
      <c r="J317" s="252"/>
      <c r="K317" s="252"/>
      <c r="L317" s="252"/>
      <c r="M317" s="252"/>
      <c r="N317" s="252"/>
      <c r="O317" s="253"/>
      <c r="P317" s="253"/>
    </row>
    <row r="318" spans="3:16"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/>
      <c r="O318" s="253"/>
      <c r="P318" s="253"/>
    </row>
    <row r="319" spans="3:16">
      <c r="C319" s="252"/>
      <c r="D319" s="252"/>
      <c r="E319" s="252"/>
      <c r="F319" s="252"/>
      <c r="G319" s="252"/>
      <c r="H319" s="252"/>
      <c r="I319" s="252"/>
      <c r="J319" s="252"/>
      <c r="K319" s="252"/>
      <c r="L319" s="252"/>
      <c r="M319" s="252"/>
      <c r="N319" s="252"/>
      <c r="O319" s="253"/>
      <c r="P319" s="253"/>
    </row>
    <row r="320" spans="3:16">
      <c r="C320" s="252"/>
      <c r="D320" s="252"/>
      <c r="E320" s="252"/>
      <c r="F320" s="252"/>
      <c r="G320" s="252"/>
      <c r="H320" s="252"/>
      <c r="I320" s="252"/>
      <c r="J320" s="252"/>
      <c r="K320" s="252"/>
      <c r="L320" s="252"/>
      <c r="M320" s="252"/>
      <c r="N320" s="252"/>
      <c r="O320" s="253"/>
      <c r="P320" s="253"/>
    </row>
    <row r="321" spans="3:16">
      <c r="C321" s="252"/>
      <c r="D321" s="252"/>
      <c r="E321" s="252"/>
      <c r="F321" s="252"/>
      <c r="G321" s="252"/>
      <c r="H321" s="252"/>
      <c r="I321" s="252"/>
      <c r="J321" s="252"/>
      <c r="K321" s="252"/>
      <c r="L321" s="252"/>
      <c r="M321" s="252"/>
      <c r="N321" s="252"/>
      <c r="O321" s="253"/>
      <c r="P321" s="253"/>
    </row>
    <row r="322" spans="3:16"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3"/>
      <c r="P322" s="253"/>
    </row>
    <row r="323" spans="3:16">
      <c r="C323" s="252"/>
      <c r="D323" s="252"/>
      <c r="E323" s="252"/>
      <c r="F323" s="252"/>
      <c r="G323" s="252"/>
      <c r="H323" s="252"/>
      <c r="I323" s="252"/>
      <c r="J323" s="252"/>
      <c r="K323" s="252"/>
      <c r="L323" s="252"/>
      <c r="M323" s="252"/>
      <c r="N323" s="252"/>
      <c r="O323" s="253"/>
      <c r="P323" s="253"/>
    </row>
    <row r="324" spans="3:16">
      <c r="C324" s="252"/>
      <c r="D324" s="252"/>
      <c r="E324" s="252"/>
      <c r="F324" s="252"/>
      <c r="G324" s="252"/>
      <c r="H324" s="252"/>
      <c r="I324" s="252"/>
      <c r="J324" s="252"/>
      <c r="K324" s="252"/>
      <c r="L324" s="252"/>
      <c r="M324" s="252"/>
      <c r="N324" s="252"/>
      <c r="O324" s="253"/>
      <c r="P324" s="253"/>
    </row>
    <row r="325" spans="3:16"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3"/>
      <c r="P325" s="253"/>
    </row>
    <row r="326" spans="3:16"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3"/>
      <c r="P326" s="253"/>
    </row>
    <row r="327" spans="3:16"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3"/>
      <c r="P327" s="253"/>
    </row>
    <row r="328" spans="3:16"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3"/>
      <c r="P328" s="253"/>
    </row>
    <row r="329" spans="3:16"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3"/>
      <c r="P329" s="253"/>
    </row>
    <row r="330" spans="3:16"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3"/>
      <c r="P330" s="253"/>
    </row>
    <row r="331" spans="3:16">
      <c r="C331" s="252"/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3"/>
      <c r="P331" s="253"/>
    </row>
    <row r="332" spans="3:16"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3"/>
      <c r="P332" s="253"/>
    </row>
    <row r="333" spans="3:16">
      <c r="C333" s="252"/>
      <c r="D333" s="252"/>
      <c r="E333" s="252"/>
      <c r="F333" s="252"/>
      <c r="G333" s="252"/>
      <c r="H333" s="252"/>
      <c r="I333" s="252"/>
      <c r="J333" s="252"/>
      <c r="K333" s="252"/>
      <c r="L333" s="252"/>
      <c r="M333" s="252"/>
      <c r="N333" s="252"/>
      <c r="O333" s="253"/>
      <c r="P333" s="253"/>
    </row>
    <row r="334" spans="3:16"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3"/>
      <c r="P334" s="253"/>
    </row>
    <row r="335" spans="3:16"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3"/>
      <c r="P335" s="253"/>
    </row>
    <row r="336" spans="3:16">
      <c r="C336" s="252"/>
      <c r="D336" s="252"/>
      <c r="E336" s="252"/>
      <c r="F336" s="252"/>
      <c r="G336" s="252"/>
      <c r="H336" s="252"/>
      <c r="I336" s="252"/>
      <c r="J336" s="252"/>
      <c r="K336" s="252"/>
      <c r="L336" s="252"/>
      <c r="M336" s="252"/>
      <c r="N336" s="252"/>
      <c r="O336" s="253"/>
      <c r="P336" s="253"/>
    </row>
    <row r="337" spans="3:16">
      <c r="C337" s="252"/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3"/>
      <c r="P337" s="253"/>
    </row>
    <row r="338" spans="3:16">
      <c r="C338" s="252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253"/>
    </row>
    <row r="339" spans="3:16">
      <c r="C339" s="252"/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3"/>
      <c r="P339" s="253"/>
    </row>
    <row r="340" spans="3:16">
      <c r="O340" s="253"/>
      <c r="P340" s="253"/>
    </row>
    <row r="341" spans="3:16">
      <c r="O341" s="253"/>
      <c r="P341" s="253"/>
    </row>
    <row r="342" spans="3:16">
      <c r="O342" s="253"/>
      <c r="P342" s="253"/>
    </row>
    <row r="343" spans="3:16">
      <c r="O343" s="253"/>
      <c r="P343" s="253"/>
    </row>
    <row r="344" spans="3:16">
      <c r="O344" s="253"/>
      <c r="P344" s="253"/>
    </row>
    <row r="345" spans="3:16">
      <c r="O345" s="253"/>
      <c r="P345" s="253"/>
    </row>
    <row r="346" spans="3:16">
      <c r="O346" s="253"/>
      <c r="P346" s="253"/>
    </row>
    <row r="347" spans="3:16">
      <c r="O347" s="253"/>
      <c r="P347" s="253"/>
    </row>
    <row r="348" spans="3:16">
      <c r="O348" s="253"/>
      <c r="P348" s="253"/>
    </row>
    <row r="349" spans="3:16">
      <c r="O349" s="253"/>
      <c r="P349" s="253"/>
    </row>
    <row r="350" spans="3:16">
      <c r="O350" s="253"/>
      <c r="P350" s="253"/>
    </row>
    <row r="351" spans="3:16">
      <c r="O351" s="253"/>
      <c r="P351" s="253"/>
    </row>
    <row r="352" spans="3:16">
      <c r="O352" s="253"/>
      <c r="P352" s="253"/>
    </row>
    <row r="353" spans="15:16">
      <c r="O353" s="253"/>
      <c r="P353" s="253"/>
    </row>
    <row r="354" spans="15:16">
      <c r="O354" s="253"/>
      <c r="P354" s="253"/>
    </row>
    <row r="355" spans="15:16">
      <c r="O355" s="253"/>
      <c r="P355" s="253"/>
    </row>
    <row r="356" spans="15:16">
      <c r="O356" s="253"/>
      <c r="P356" s="253"/>
    </row>
    <row r="357" spans="15:16">
      <c r="O357" s="253"/>
      <c r="P357" s="253"/>
    </row>
    <row r="358" spans="15:16">
      <c r="O358" s="253"/>
      <c r="P358" s="253"/>
    </row>
    <row r="359" spans="15:16">
      <c r="O359" s="253"/>
      <c r="P359" s="253"/>
    </row>
    <row r="360" spans="15:16">
      <c r="O360" s="253"/>
      <c r="P360" s="253"/>
    </row>
    <row r="361" spans="15:16">
      <c r="O361" s="253"/>
      <c r="P361" s="253"/>
    </row>
    <row r="362" spans="15:16">
      <c r="O362" s="253"/>
      <c r="P362" s="253"/>
    </row>
    <row r="363" spans="15:16">
      <c r="O363" s="253"/>
      <c r="P363" s="253"/>
    </row>
    <row r="364" spans="15:16">
      <c r="O364" s="253"/>
      <c r="P364" s="253"/>
    </row>
    <row r="365" spans="15:16">
      <c r="O365" s="253"/>
      <c r="P365" s="253"/>
    </row>
    <row r="366" spans="15:16">
      <c r="O366" s="253"/>
      <c r="P366" s="253"/>
    </row>
    <row r="367" spans="15:16">
      <c r="O367" s="253"/>
      <c r="P367" s="253"/>
    </row>
    <row r="368" spans="15:16">
      <c r="O368" s="253"/>
      <c r="P368" s="253"/>
    </row>
    <row r="369" spans="15:16">
      <c r="O369" s="253"/>
      <c r="P369" s="253"/>
    </row>
    <row r="370" spans="15:16">
      <c r="O370" s="253"/>
      <c r="P370" s="253"/>
    </row>
    <row r="371" spans="15:16">
      <c r="O371" s="253"/>
      <c r="P371" s="253"/>
    </row>
    <row r="372" spans="15:16">
      <c r="O372" s="253"/>
      <c r="P372" s="253"/>
    </row>
    <row r="373" spans="15:16">
      <c r="O373" s="253"/>
      <c r="P373" s="253"/>
    </row>
    <row r="374" spans="15:16">
      <c r="O374" s="253"/>
      <c r="P374" s="253"/>
    </row>
    <row r="375" spans="15:16">
      <c r="O375" s="253"/>
      <c r="P375" s="253"/>
    </row>
    <row r="376" spans="15:16">
      <c r="O376" s="253"/>
      <c r="P376" s="253"/>
    </row>
    <row r="377" spans="15:16">
      <c r="O377" s="253"/>
      <c r="P377" s="253"/>
    </row>
    <row r="378" spans="15:16">
      <c r="O378" s="253"/>
      <c r="P378" s="253"/>
    </row>
    <row r="379" spans="15:16">
      <c r="O379" s="253"/>
      <c r="P379" s="253"/>
    </row>
    <row r="380" spans="15:16">
      <c r="O380" s="253"/>
      <c r="P380" s="253"/>
    </row>
    <row r="381" spans="15:16">
      <c r="O381" s="253"/>
      <c r="P381" s="253"/>
    </row>
    <row r="382" spans="15:16">
      <c r="O382" s="253"/>
      <c r="P382" s="253"/>
    </row>
    <row r="383" spans="15:16">
      <c r="O383" s="253"/>
      <c r="P383" s="253"/>
    </row>
    <row r="384" spans="15:16">
      <c r="O384" s="253"/>
      <c r="P384" s="253"/>
    </row>
    <row r="385" spans="15:16">
      <c r="O385" s="253"/>
      <c r="P385" s="253"/>
    </row>
    <row r="386" spans="15:16">
      <c r="O386" s="253"/>
      <c r="P386" s="253"/>
    </row>
    <row r="387" spans="15:16">
      <c r="O387" s="253"/>
      <c r="P387" s="253"/>
    </row>
    <row r="388" spans="15:16">
      <c r="O388" s="253"/>
      <c r="P388" s="253"/>
    </row>
    <row r="389" spans="15:16">
      <c r="O389" s="253"/>
      <c r="P389" s="253"/>
    </row>
    <row r="390" spans="15:16">
      <c r="O390" s="253"/>
      <c r="P390" s="253"/>
    </row>
    <row r="391" spans="15:16">
      <c r="O391" s="253"/>
      <c r="P391" s="253"/>
    </row>
    <row r="392" spans="15:16">
      <c r="O392" s="253"/>
      <c r="P392" s="253"/>
    </row>
    <row r="393" spans="15:16">
      <c r="O393" s="253"/>
      <c r="P393" s="253"/>
    </row>
    <row r="394" spans="15:16">
      <c r="O394" s="253"/>
      <c r="P394" s="253"/>
    </row>
    <row r="395" spans="15:16">
      <c r="O395" s="253"/>
      <c r="P395" s="253"/>
    </row>
    <row r="396" spans="15:16">
      <c r="O396" s="253"/>
      <c r="P396" s="253"/>
    </row>
    <row r="397" spans="15:16">
      <c r="O397" s="253"/>
      <c r="P397" s="253"/>
    </row>
    <row r="398" spans="15:16">
      <c r="O398" s="253"/>
      <c r="P398" s="253"/>
    </row>
    <row r="399" spans="15:16">
      <c r="O399" s="253"/>
      <c r="P399" s="253"/>
    </row>
    <row r="400" spans="15:16">
      <c r="O400" s="253"/>
      <c r="P400" s="253"/>
    </row>
    <row r="401" spans="15:16">
      <c r="O401" s="253"/>
      <c r="P401" s="253"/>
    </row>
    <row r="402" spans="15:16">
      <c r="O402" s="253"/>
      <c r="P402" s="253"/>
    </row>
    <row r="403" spans="15:16">
      <c r="O403" s="253"/>
      <c r="P403" s="253"/>
    </row>
    <row r="404" spans="15:16">
      <c r="O404" s="253"/>
      <c r="P404" s="253"/>
    </row>
    <row r="405" spans="15:16">
      <c r="O405" s="253"/>
      <c r="P405" s="253"/>
    </row>
    <row r="406" spans="15:16">
      <c r="O406" s="253"/>
      <c r="P406" s="253"/>
    </row>
    <row r="407" spans="15:16">
      <c r="O407" s="253"/>
      <c r="P407" s="253"/>
    </row>
    <row r="408" spans="15:16">
      <c r="O408" s="253"/>
      <c r="P408" s="253"/>
    </row>
    <row r="409" spans="15:16">
      <c r="O409" s="253"/>
      <c r="P409" s="253"/>
    </row>
    <row r="410" spans="15:16">
      <c r="O410" s="253"/>
      <c r="P410" s="253"/>
    </row>
    <row r="411" spans="15:16">
      <c r="O411" s="253"/>
      <c r="P411" s="253"/>
    </row>
    <row r="412" spans="15:16">
      <c r="O412" s="253"/>
      <c r="P412" s="253"/>
    </row>
    <row r="413" spans="15:16">
      <c r="O413" s="253"/>
      <c r="P413" s="253"/>
    </row>
    <row r="414" spans="15:16">
      <c r="O414" s="253"/>
      <c r="P414" s="253"/>
    </row>
    <row r="415" spans="15:16">
      <c r="O415" s="253"/>
      <c r="P415" s="253"/>
    </row>
    <row r="416" spans="15:16">
      <c r="O416" s="253"/>
      <c r="P416" s="253"/>
    </row>
    <row r="417" spans="15:16">
      <c r="O417" s="253"/>
      <c r="P417" s="253"/>
    </row>
    <row r="418" spans="15:16">
      <c r="O418" s="253"/>
      <c r="P418" s="253"/>
    </row>
    <row r="419" spans="15:16">
      <c r="O419" s="253"/>
      <c r="P419" s="253"/>
    </row>
    <row r="420" spans="15:16">
      <c r="O420" s="253"/>
      <c r="P420" s="253"/>
    </row>
    <row r="421" spans="15:16">
      <c r="O421" s="253"/>
      <c r="P421" s="253"/>
    </row>
    <row r="422" spans="15:16">
      <c r="O422" s="253"/>
      <c r="P422" s="253"/>
    </row>
    <row r="423" spans="15:16">
      <c r="O423" s="253"/>
      <c r="P423" s="253"/>
    </row>
    <row r="424" spans="15:16">
      <c r="O424" s="253"/>
      <c r="P424" s="253"/>
    </row>
    <row r="425" spans="15:16">
      <c r="O425" s="253"/>
      <c r="P425" s="253"/>
    </row>
    <row r="426" spans="15:16">
      <c r="O426" s="253"/>
      <c r="P426" s="253"/>
    </row>
    <row r="427" spans="15:16">
      <c r="O427" s="253"/>
      <c r="P427" s="253"/>
    </row>
    <row r="428" spans="15:16">
      <c r="O428" s="253"/>
      <c r="P428" s="253"/>
    </row>
    <row r="429" spans="15:16">
      <c r="O429" s="253"/>
      <c r="P429" s="253"/>
    </row>
    <row r="430" spans="15:16">
      <c r="O430" s="253"/>
      <c r="P430" s="253"/>
    </row>
    <row r="431" spans="15:16">
      <c r="O431" s="253"/>
      <c r="P431" s="253"/>
    </row>
    <row r="432" spans="15:16">
      <c r="O432" s="253"/>
      <c r="P432" s="253"/>
    </row>
    <row r="433" spans="15:16">
      <c r="O433" s="253"/>
      <c r="P433" s="253"/>
    </row>
    <row r="434" spans="15:16">
      <c r="O434" s="253"/>
      <c r="P434" s="253"/>
    </row>
    <row r="435" spans="15:16">
      <c r="O435" s="253"/>
      <c r="P435" s="253"/>
    </row>
    <row r="436" spans="15:16">
      <c r="O436" s="253"/>
      <c r="P436" s="253"/>
    </row>
    <row r="437" spans="15:16">
      <c r="O437" s="253"/>
      <c r="P437" s="253"/>
    </row>
    <row r="438" spans="15:16">
      <c r="O438" s="253"/>
      <c r="P438" s="253"/>
    </row>
    <row r="439" spans="15:16">
      <c r="O439" s="253"/>
      <c r="P439" s="253"/>
    </row>
    <row r="440" spans="15:16">
      <c r="O440" s="253"/>
      <c r="P440" s="253"/>
    </row>
    <row r="441" spans="15:16">
      <c r="O441" s="253"/>
      <c r="P441" s="253"/>
    </row>
    <row r="442" spans="15:16">
      <c r="O442" s="253"/>
      <c r="P442" s="253"/>
    </row>
    <row r="443" spans="15:16">
      <c r="O443" s="253"/>
      <c r="P443" s="253"/>
    </row>
    <row r="444" spans="15:16">
      <c r="O444" s="253"/>
      <c r="P444" s="253"/>
    </row>
    <row r="445" spans="15:16">
      <c r="O445" s="253"/>
      <c r="P445" s="253"/>
    </row>
    <row r="446" spans="15:16">
      <c r="O446" s="253"/>
      <c r="P446" s="253"/>
    </row>
    <row r="447" spans="15:16">
      <c r="O447" s="253"/>
      <c r="P447" s="253"/>
    </row>
    <row r="448" spans="15:16">
      <c r="O448" s="253"/>
      <c r="P448" s="253"/>
    </row>
    <row r="449" spans="15:16">
      <c r="O449" s="253"/>
      <c r="P449" s="253"/>
    </row>
    <row r="450" spans="15:16">
      <c r="O450" s="253"/>
      <c r="P450" s="253"/>
    </row>
    <row r="451" spans="15:16">
      <c r="O451" s="253"/>
      <c r="P451" s="253"/>
    </row>
    <row r="452" spans="15:16">
      <c r="O452" s="253"/>
      <c r="P452" s="253"/>
    </row>
    <row r="453" spans="15:16">
      <c r="O453" s="253"/>
      <c r="P453" s="253"/>
    </row>
    <row r="454" spans="15:16">
      <c r="O454" s="253"/>
      <c r="P454" s="253"/>
    </row>
    <row r="455" spans="15:16">
      <c r="O455" s="253"/>
      <c r="P455" s="253"/>
    </row>
    <row r="456" spans="15:16">
      <c r="O456" s="253"/>
      <c r="P456" s="253"/>
    </row>
    <row r="457" spans="15:16">
      <c r="O457" s="253"/>
      <c r="P457" s="253"/>
    </row>
    <row r="458" spans="15:16">
      <c r="O458" s="253"/>
      <c r="P458" s="253"/>
    </row>
    <row r="459" spans="15:16">
      <c r="O459" s="253"/>
      <c r="P459" s="253"/>
    </row>
    <row r="460" spans="15:16">
      <c r="O460" s="253"/>
      <c r="P460" s="253"/>
    </row>
    <row r="461" spans="15:16">
      <c r="O461" s="253"/>
      <c r="P461" s="253"/>
    </row>
    <row r="462" spans="15:16">
      <c r="O462" s="253"/>
      <c r="P462" s="253"/>
    </row>
    <row r="463" spans="15:16">
      <c r="O463" s="253"/>
      <c r="P463" s="253"/>
    </row>
    <row r="464" spans="15:16">
      <c r="O464" s="253"/>
      <c r="P464" s="253"/>
    </row>
    <row r="465" spans="15:16">
      <c r="O465" s="253"/>
      <c r="P465" s="253"/>
    </row>
    <row r="466" spans="15:16">
      <c r="O466" s="253"/>
      <c r="P466" s="253"/>
    </row>
    <row r="467" spans="15:16">
      <c r="O467" s="253"/>
      <c r="P467" s="253"/>
    </row>
    <row r="468" spans="15:16">
      <c r="O468" s="253"/>
      <c r="P468" s="253"/>
    </row>
    <row r="469" spans="15:16">
      <c r="O469" s="253"/>
      <c r="P469" s="253"/>
    </row>
    <row r="470" spans="15:16">
      <c r="O470" s="253"/>
      <c r="P470" s="253"/>
    </row>
    <row r="471" spans="15:16">
      <c r="O471" s="253"/>
      <c r="P471" s="253"/>
    </row>
    <row r="472" spans="15:16">
      <c r="O472" s="253"/>
      <c r="P472" s="253"/>
    </row>
    <row r="473" spans="15:16">
      <c r="O473" s="253"/>
      <c r="P473" s="253"/>
    </row>
    <row r="474" spans="15:16">
      <c r="O474" s="253"/>
      <c r="P474" s="253"/>
    </row>
    <row r="475" spans="15:16">
      <c r="O475" s="253"/>
      <c r="P475" s="253"/>
    </row>
    <row r="476" spans="15:16">
      <c r="O476" s="253"/>
      <c r="P476" s="253"/>
    </row>
    <row r="477" spans="15:16">
      <c r="O477" s="253"/>
      <c r="P477" s="253"/>
    </row>
    <row r="478" spans="15:16">
      <c r="O478" s="253"/>
      <c r="P478" s="253"/>
    </row>
    <row r="479" spans="15:16">
      <c r="O479" s="253"/>
      <c r="P479" s="253"/>
    </row>
    <row r="480" spans="15:16">
      <c r="O480" s="253"/>
      <c r="P480" s="253"/>
    </row>
    <row r="481" spans="15:16">
      <c r="O481" s="253"/>
      <c r="P481" s="253"/>
    </row>
    <row r="482" spans="15:16">
      <c r="O482" s="253"/>
      <c r="P482" s="253"/>
    </row>
    <row r="483" spans="15:16">
      <c r="O483" s="253"/>
      <c r="P483" s="253"/>
    </row>
    <row r="484" spans="15:16">
      <c r="O484" s="253"/>
      <c r="P484" s="253"/>
    </row>
    <row r="485" spans="15:16">
      <c r="O485" s="253"/>
      <c r="P485" s="253"/>
    </row>
    <row r="486" spans="15:16">
      <c r="O486" s="253"/>
      <c r="P486" s="253"/>
    </row>
    <row r="487" spans="15:16">
      <c r="O487" s="253"/>
      <c r="P487" s="253"/>
    </row>
    <row r="488" spans="15:16">
      <c r="O488" s="253"/>
      <c r="P488" s="253"/>
    </row>
    <row r="489" spans="15:16">
      <c r="O489" s="253"/>
      <c r="P489" s="253"/>
    </row>
    <row r="490" spans="15:16">
      <c r="O490" s="253"/>
      <c r="P490" s="253"/>
    </row>
    <row r="491" spans="15:16">
      <c r="O491" s="253"/>
      <c r="P491" s="253"/>
    </row>
    <row r="492" spans="15:16">
      <c r="O492" s="253"/>
      <c r="P492" s="253"/>
    </row>
    <row r="493" spans="15:16">
      <c r="O493" s="253"/>
      <c r="P493" s="253"/>
    </row>
    <row r="494" spans="15:16">
      <c r="O494" s="253"/>
      <c r="P494" s="253"/>
    </row>
    <row r="495" spans="15:16">
      <c r="O495" s="253"/>
      <c r="P495" s="253"/>
    </row>
    <row r="496" spans="15:16">
      <c r="O496" s="253"/>
      <c r="P496" s="253"/>
    </row>
    <row r="497" spans="15:16">
      <c r="O497" s="253"/>
      <c r="P497" s="253"/>
    </row>
    <row r="498" spans="15:16">
      <c r="O498" s="253"/>
      <c r="P498" s="253"/>
    </row>
    <row r="499" spans="15:16">
      <c r="O499" s="253"/>
      <c r="P499" s="253"/>
    </row>
    <row r="500" spans="15:16">
      <c r="O500" s="253"/>
      <c r="P500" s="253"/>
    </row>
    <row r="501" spans="15:16">
      <c r="O501" s="253"/>
      <c r="P501" s="253"/>
    </row>
    <row r="502" spans="15:16">
      <c r="O502" s="253"/>
      <c r="P502" s="253"/>
    </row>
    <row r="503" spans="15:16">
      <c r="O503" s="253"/>
      <c r="P503" s="253"/>
    </row>
    <row r="504" spans="15:16">
      <c r="O504" s="253"/>
      <c r="P504" s="253"/>
    </row>
    <row r="505" spans="15:16">
      <c r="O505" s="253"/>
      <c r="P505" s="253"/>
    </row>
    <row r="506" spans="15:16">
      <c r="O506" s="253"/>
      <c r="P506" s="253"/>
    </row>
    <row r="507" spans="15:16">
      <c r="O507" s="253"/>
      <c r="P507" s="253"/>
    </row>
    <row r="508" spans="15:16">
      <c r="O508" s="253"/>
      <c r="P508" s="253"/>
    </row>
    <row r="509" spans="15:16">
      <c r="O509" s="253"/>
      <c r="P509" s="253"/>
    </row>
    <row r="510" spans="15:16">
      <c r="O510" s="253"/>
      <c r="P510" s="253"/>
    </row>
    <row r="511" spans="15:16">
      <c r="O511" s="253"/>
      <c r="P511" s="253"/>
    </row>
    <row r="512" spans="15:16">
      <c r="O512" s="253"/>
      <c r="P512" s="253"/>
    </row>
    <row r="513" spans="15:16">
      <c r="O513" s="253"/>
      <c r="P513" s="253"/>
    </row>
    <row r="514" spans="15:16">
      <c r="O514" s="253"/>
      <c r="P514" s="253"/>
    </row>
    <row r="515" spans="15:16">
      <c r="O515" s="253"/>
      <c r="P515" s="253"/>
    </row>
    <row r="516" spans="15:16">
      <c r="O516" s="253"/>
      <c r="P516" s="253"/>
    </row>
    <row r="517" spans="15:16">
      <c r="O517" s="253"/>
      <c r="P517" s="253"/>
    </row>
    <row r="518" spans="15:16">
      <c r="O518" s="253"/>
      <c r="P518" s="253"/>
    </row>
    <row r="519" spans="15:16">
      <c r="O519" s="253"/>
      <c r="P519" s="253"/>
    </row>
    <row r="520" spans="15:16">
      <c r="O520" s="253"/>
      <c r="P520" s="253"/>
    </row>
    <row r="521" spans="15:16">
      <c r="O521" s="253"/>
      <c r="P521" s="253"/>
    </row>
    <row r="522" spans="15:16">
      <c r="O522" s="253"/>
      <c r="P522" s="253"/>
    </row>
    <row r="523" spans="15:16">
      <c r="O523" s="253"/>
      <c r="P523" s="253"/>
    </row>
    <row r="524" spans="15:16">
      <c r="O524" s="253"/>
      <c r="P524" s="253"/>
    </row>
    <row r="525" spans="15:16">
      <c r="O525" s="253"/>
      <c r="P525" s="253"/>
    </row>
    <row r="526" spans="15:16">
      <c r="O526" s="253"/>
      <c r="P526" s="253"/>
    </row>
    <row r="527" spans="15:16">
      <c r="O527" s="253"/>
      <c r="P527" s="253"/>
    </row>
    <row r="528" spans="15:16">
      <c r="O528" s="253"/>
      <c r="P528" s="253"/>
    </row>
    <row r="529" spans="15:16">
      <c r="O529" s="253"/>
      <c r="P529" s="253"/>
    </row>
    <row r="530" spans="15:16">
      <c r="O530" s="253"/>
      <c r="P530" s="253"/>
    </row>
    <row r="531" spans="15:16">
      <c r="O531" s="253"/>
      <c r="P531" s="253"/>
    </row>
    <row r="532" spans="15:16">
      <c r="O532" s="253"/>
      <c r="P532" s="253"/>
    </row>
    <row r="533" spans="15:16">
      <c r="O533" s="253"/>
      <c r="P533" s="253"/>
    </row>
    <row r="534" spans="15:16">
      <c r="O534" s="253"/>
      <c r="P534" s="253"/>
    </row>
    <row r="535" spans="15:16">
      <c r="O535" s="253"/>
      <c r="P535" s="253"/>
    </row>
    <row r="536" spans="15:16">
      <c r="O536" s="253"/>
      <c r="P536" s="253"/>
    </row>
    <row r="537" spans="15:16">
      <c r="O537" s="253"/>
      <c r="P537" s="253"/>
    </row>
    <row r="538" spans="15:16">
      <c r="O538" s="253"/>
      <c r="P538" s="253"/>
    </row>
    <row r="539" spans="15:16">
      <c r="O539" s="253"/>
      <c r="P539" s="253"/>
    </row>
    <row r="540" spans="15:16">
      <c r="O540" s="253"/>
      <c r="P540" s="253"/>
    </row>
    <row r="541" spans="15:16">
      <c r="O541" s="253"/>
      <c r="P541" s="253"/>
    </row>
    <row r="542" spans="15:16">
      <c r="O542" s="253"/>
      <c r="P542" s="253"/>
    </row>
  </sheetData>
  <mergeCells count="4">
    <mergeCell ref="A1:P1"/>
    <mergeCell ref="A2:P2"/>
    <mergeCell ref="A3:P3"/>
    <mergeCell ref="A4:P4"/>
  </mergeCells>
  <phoneticPr fontId="16" type="noConversion"/>
  <pageMargins left="0.6692913385826772" right="0.6692913385826772" top="0.74803149606299213" bottom="1.259842519685039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3"/>
  <sheetViews>
    <sheetView view="pageBreakPreview" zoomScale="110" zoomScaleSheetLayoutView="110" workbookViewId="0">
      <pane ySplit="5" topLeftCell="A6" activePane="bottomLeft" state="frozenSplit"/>
      <selection pane="bottomLeft" activeCell="R17" sqref="R17"/>
    </sheetView>
  </sheetViews>
  <sheetFormatPr defaultRowHeight="12.75"/>
  <cols>
    <col min="1" max="1" width="21.7109375" style="3" customWidth="1"/>
    <col min="2" max="2" width="2" style="3" customWidth="1"/>
    <col min="3" max="3" width="6.7109375" style="3" hidden="1" customWidth="1"/>
    <col min="4" max="4" width="7.5703125" style="3" hidden="1" customWidth="1"/>
    <col min="5" max="6" width="7" style="3" hidden="1" customWidth="1"/>
    <col min="7" max="8" width="7.7109375" style="3" hidden="1" customWidth="1"/>
    <col min="9" max="13" width="7.7109375" style="3" customWidth="1"/>
    <col min="14" max="14" width="7.7109375" style="69" customWidth="1"/>
    <col min="15" max="15" width="2" style="3" customWidth="1"/>
    <col min="16" max="16" width="13.85546875" style="3" customWidth="1"/>
    <col min="17" max="25" width="9.140625" style="3"/>
    <col min="26" max="26" width="15.85546875" style="3" customWidth="1"/>
    <col min="27" max="27" width="13.7109375" style="3" customWidth="1"/>
    <col min="28" max="28" width="13.42578125" style="3" customWidth="1"/>
    <col min="29" max="29" width="9.140625" style="3"/>
    <col min="30" max="30" width="13.85546875" style="3" customWidth="1"/>
    <col min="31" max="31" width="7.7109375" style="3" customWidth="1"/>
    <col min="32" max="32" width="10.28515625" style="3" customWidth="1"/>
    <col min="33" max="33" width="10.85546875" style="3" customWidth="1"/>
    <col min="34" max="16384" width="9.140625" style="3"/>
  </cols>
  <sheetData>
    <row r="1" spans="1:18" s="1" customFormat="1" ht="12.95" customHeight="1">
      <c r="A1" s="314" t="s">
        <v>134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8" s="2" customFormat="1" ht="16.5" customHeight="1">
      <c r="A2" s="315" t="s">
        <v>201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18" ht="12.95" customHeight="1">
      <c r="A3" s="316" t="s">
        <v>168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8" ht="12.9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8" s="4" customFormat="1" ht="20.100000000000001" customHeight="1" thickBot="1">
      <c r="A5" s="184" t="s">
        <v>1</v>
      </c>
      <c r="B5" s="185"/>
      <c r="C5" s="186">
        <v>2001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7">
        <v>2008</v>
      </c>
      <c r="J5" s="187">
        <v>2009</v>
      </c>
      <c r="K5" s="187">
        <v>2010</v>
      </c>
      <c r="L5" s="187">
        <v>2011</v>
      </c>
      <c r="M5" s="187">
        <v>2012</v>
      </c>
      <c r="N5" s="187">
        <v>2013</v>
      </c>
      <c r="O5" s="185"/>
      <c r="P5" s="186" t="s">
        <v>2</v>
      </c>
    </row>
    <row r="6" spans="1:18" s="5" customFormat="1">
      <c r="A6" s="150"/>
      <c r="B6" s="188" t="s">
        <v>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73" t="s">
        <v>4</v>
      </c>
      <c r="P6" s="150"/>
    </row>
    <row r="7" spans="1:18" s="6" customFormat="1" ht="18" customHeight="1">
      <c r="A7" s="188" t="s">
        <v>308</v>
      </c>
      <c r="B7" s="188" t="s">
        <v>144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73" t="s">
        <v>145</v>
      </c>
      <c r="P7" s="189" t="s">
        <v>301</v>
      </c>
    </row>
    <row r="8" spans="1:18" s="6" customFormat="1" ht="12.2" customHeight="1">
      <c r="A8" s="150" t="s">
        <v>62</v>
      </c>
      <c r="B8" s="150"/>
      <c r="C8" s="195"/>
      <c r="D8" s="183">
        <v>6.4</v>
      </c>
      <c r="E8" s="183">
        <v>8.5</v>
      </c>
      <c r="F8" s="183">
        <v>9</v>
      </c>
      <c r="G8" s="183">
        <v>6.5</v>
      </c>
      <c r="H8" s="183">
        <v>6.4</v>
      </c>
      <c r="I8" s="183">
        <v>8.6999999999999993</v>
      </c>
      <c r="J8" s="183">
        <v>5.4</v>
      </c>
      <c r="K8" s="183">
        <v>5.3</v>
      </c>
      <c r="L8" s="183">
        <v>8.8000000000000007</v>
      </c>
      <c r="M8" s="183">
        <v>11.52</v>
      </c>
      <c r="N8" s="183">
        <v>10.4</v>
      </c>
      <c r="O8" s="150"/>
      <c r="P8" s="234" t="s">
        <v>64</v>
      </c>
      <c r="R8" s="17"/>
    </row>
    <row r="9" spans="1:18" s="6" customFormat="1" ht="12.2" customHeight="1">
      <c r="A9" s="150" t="s">
        <v>169</v>
      </c>
      <c r="B9" s="150"/>
      <c r="C9" s="195"/>
      <c r="D9" s="183">
        <f>251.1+1</f>
        <v>252.1</v>
      </c>
      <c r="E9" s="183">
        <f>298.2+2.3</f>
        <v>300.5</v>
      </c>
      <c r="F9" s="183">
        <f>282.6+2.3</f>
        <v>284.90000000000003</v>
      </c>
      <c r="G9" s="183">
        <f>312.3+1.8</f>
        <v>314.10000000000002</v>
      </c>
      <c r="H9" s="183">
        <f>425.4+8</f>
        <v>433.4</v>
      </c>
      <c r="I9" s="183">
        <f>464.3+8.1</f>
        <v>472.40000000000003</v>
      </c>
      <c r="J9" s="183">
        <f>389.4+7.7</f>
        <v>397.09999999999997</v>
      </c>
      <c r="K9" s="183">
        <f>407.5+9.9</f>
        <v>417.4</v>
      </c>
      <c r="L9" s="183">
        <v>568.20000000000005</v>
      </c>
      <c r="M9" s="183">
        <f>8.88+537.5</f>
        <v>546.38</v>
      </c>
      <c r="N9" s="183">
        <f>631.1+8.4</f>
        <v>639.5</v>
      </c>
      <c r="O9" s="150"/>
      <c r="P9" s="234" t="s">
        <v>65</v>
      </c>
      <c r="R9" s="17"/>
    </row>
    <row r="10" spans="1:18" s="6" customFormat="1" ht="12.2" customHeight="1">
      <c r="A10" s="150" t="s">
        <v>170</v>
      </c>
      <c r="B10" s="150"/>
      <c r="C10" s="195"/>
      <c r="D10" s="183">
        <v>165.8</v>
      </c>
      <c r="E10" s="183">
        <v>187.1</v>
      </c>
      <c r="F10" s="183">
        <v>302.10000000000002</v>
      </c>
      <c r="G10" s="183">
        <v>484.3</v>
      </c>
      <c r="H10" s="75">
        <v>776.6</v>
      </c>
      <c r="I10" s="75">
        <v>1539.7</v>
      </c>
      <c r="J10" s="75">
        <v>1659.5</v>
      </c>
      <c r="K10" s="75">
        <v>1740.6</v>
      </c>
      <c r="L10" s="75">
        <v>1684.6</v>
      </c>
      <c r="M10" s="75">
        <v>1641.7</v>
      </c>
      <c r="N10" s="75">
        <v>1566.1</v>
      </c>
      <c r="O10" s="150"/>
      <c r="P10" s="234" t="s">
        <v>66</v>
      </c>
      <c r="R10" s="17"/>
    </row>
    <row r="11" spans="1:18" s="6" customFormat="1" ht="12.2" customHeight="1">
      <c r="A11" s="150" t="s">
        <v>63</v>
      </c>
      <c r="B11" s="150"/>
      <c r="C11" s="195"/>
      <c r="D11" s="183">
        <v>286.2</v>
      </c>
      <c r="E11" s="183">
        <v>341.3</v>
      </c>
      <c r="F11" s="183">
        <v>436.2</v>
      </c>
      <c r="G11" s="183">
        <v>551.6</v>
      </c>
      <c r="H11" s="75">
        <v>735.3</v>
      </c>
      <c r="I11" s="75">
        <v>1065.4000000000001</v>
      </c>
      <c r="J11" s="75">
        <v>998.7</v>
      </c>
      <c r="K11" s="75">
        <v>772.9</v>
      </c>
      <c r="L11" s="75">
        <v>852</v>
      </c>
      <c r="M11" s="75">
        <v>960</v>
      </c>
      <c r="N11" s="75">
        <v>1144.4000000000001</v>
      </c>
      <c r="O11" s="150"/>
      <c r="P11" s="234" t="s">
        <v>67</v>
      </c>
      <c r="R11" s="17"/>
    </row>
    <row r="12" spans="1:18" s="6" customFormat="1" ht="12.2" customHeight="1">
      <c r="A12" s="150" t="s">
        <v>69</v>
      </c>
      <c r="B12" s="150"/>
      <c r="C12" s="195">
        <v>2356</v>
      </c>
      <c r="D12" s="75">
        <f t="shared" ref="D12:J12" si="0">D13-D8-D9-D10-D11</f>
        <v>1088.4000000000001</v>
      </c>
      <c r="E12" s="75">
        <f t="shared" si="0"/>
        <v>1393.3</v>
      </c>
      <c r="F12" s="75">
        <f t="shared" si="0"/>
        <v>1591.3</v>
      </c>
      <c r="G12" s="75">
        <f t="shared" si="0"/>
        <v>1677</v>
      </c>
      <c r="H12" s="75">
        <f t="shared" si="0"/>
        <v>2232.1999999999998</v>
      </c>
      <c r="I12" s="75">
        <f t="shared" si="0"/>
        <v>2801.400000000001</v>
      </c>
      <c r="J12" s="75">
        <f t="shared" si="0"/>
        <v>2824.2</v>
      </c>
      <c r="K12" s="75">
        <f>K13-(K8+K9+K10+K11)</f>
        <v>2740.4000000000005</v>
      </c>
      <c r="L12" s="75">
        <f>L13-(L8+L9+L10+L11)</f>
        <v>3330.7999999999997</v>
      </c>
      <c r="M12" s="75">
        <f>M13-(M8+M9+M10+M11)</f>
        <v>3689.1</v>
      </c>
      <c r="N12" s="75">
        <f>N13-(N11+N10+N9+N8)</f>
        <v>3810.1</v>
      </c>
      <c r="O12" s="150"/>
      <c r="P12" s="234" t="s">
        <v>68</v>
      </c>
      <c r="R12" s="85"/>
    </row>
    <row r="13" spans="1:18" s="6" customFormat="1" ht="12.2" customHeight="1">
      <c r="A13" s="150" t="s">
        <v>70</v>
      </c>
      <c r="B13" s="150"/>
      <c r="C13" s="195">
        <v>2783.7</v>
      </c>
      <c r="D13" s="75">
        <v>1798.9</v>
      </c>
      <c r="E13" s="75">
        <v>2230.6999999999998</v>
      </c>
      <c r="F13" s="75">
        <v>2623.5</v>
      </c>
      <c r="G13" s="75">
        <v>3033.5</v>
      </c>
      <c r="H13" s="75">
        <v>4183.8999999999996</v>
      </c>
      <c r="I13" s="75">
        <v>5887.6</v>
      </c>
      <c r="J13" s="75">
        <v>5884.9</v>
      </c>
      <c r="K13" s="75">
        <v>5676.6</v>
      </c>
      <c r="L13" s="75">
        <v>6444.4</v>
      </c>
      <c r="M13" s="75">
        <v>6848.7</v>
      </c>
      <c r="N13" s="75">
        <v>7170.5</v>
      </c>
      <c r="O13" s="195"/>
      <c r="P13" s="234" t="s">
        <v>71</v>
      </c>
    </row>
    <row r="14" spans="1:18" s="6" customFormat="1" ht="18" customHeight="1">
      <c r="A14" s="188" t="s">
        <v>109</v>
      </c>
      <c r="B14" s="188" t="s">
        <v>146</v>
      </c>
      <c r="C14" s="19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 t="s">
        <v>147</v>
      </c>
      <c r="P14" s="189" t="s">
        <v>84</v>
      </c>
    </row>
    <row r="15" spans="1:18" s="6" customFormat="1" ht="12.2" customHeight="1">
      <c r="A15" s="150" t="s">
        <v>62</v>
      </c>
      <c r="B15" s="150"/>
      <c r="C15" s="195"/>
      <c r="D15" s="75">
        <f>4521+447</f>
        <v>4968</v>
      </c>
      <c r="E15" s="75">
        <f>5015+550</f>
        <v>5565</v>
      </c>
      <c r="F15" s="75">
        <v>6441</v>
      </c>
      <c r="G15" s="75">
        <v>5731</v>
      </c>
      <c r="H15" s="75">
        <f>6986+929</f>
        <v>7915</v>
      </c>
      <c r="I15" s="75">
        <f>5758+863</f>
        <v>6621</v>
      </c>
      <c r="J15" s="75">
        <f>5137+2165</f>
        <v>7302</v>
      </c>
      <c r="K15" s="75">
        <f>4856+1554</f>
        <v>6410</v>
      </c>
      <c r="L15" s="75">
        <v>9114.0697289999989</v>
      </c>
      <c r="M15" s="75">
        <v>6220.0875586345492</v>
      </c>
      <c r="N15" s="75">
        <v>6219</v>
      </c>
      <c r="O15" s="150"/>
      <c r="P15" s="234" t="s">
        <v>64</v>
      </c>
      <c r="R15" s="17"/>
    </row>
    <row r="16" spans="1:18" s="6" customFormat="1" ht="12.2" customHeight="1">
      <c r="A16" s="150" t="s">
        <v>309</v>
      </c>
      <c r="B16" s="150"/>
      <c r="C16" s="195"/>
      <c r="D16" s="75">
        <f>74269+26782</f>
        <v>101051</v>
      </c>
      <c r="E16" s="75">
        <f>77722+28569</f>
        <v>106291</v>
      </c>
      <c r="F16" s="75">
        <v>116801</v>
      </c>
      <c r="G16" s="75">
        <v>116251</v>
      </c>
      <c r="H16" s="75">
        <f>80497+51399</f>
        <v>131896</v>
      </c>
      <c r="I16" s="75">
        <f>76794+67690</f>
        <v>144484</v>
      </c>
      <c r="J16" s="75">
        <f>94674+61808</f>
        <v>156482</v>
      </c>
      <c r="K16" s="75">
        <f>94810+79423</f>
        <v>174233</v>
      </c>
      <c r="L16" s="75">
        <v>171389.773231</v>
      </c>
      <c r="M16" s="75">
        <v>188150.10102972068</v>
      </c>
      <c r="N16" s="75">
        <v>207638</v>
      </c>
      <c r="O16" s="150"/>
      <c r="P16" s="234" t="s">
        <v>310</v>
      </c>
      <c r="R16" s="17"/>
    </row>
    <row r="17" spans="1:18" s="6" customFormat="1" ht="12.2" customHeight="1">
      <c r="A17" s="150" t="s">
        <v>170</v>
      </c>
      <c r="B17" s="150"/>
      <c r="C17" s="195"/>
      <c r="D17" s="75" t="s">
        <v>61</v>
      </c>
      <c r="E17" s="75" t="s">
        <v>61</v>
      </c>
      <c r="F17" s="75" t="s">
        <v>61</v>
      </c>
      <c r="G17" s="75" t="s">
        <v>61</v>
      </c>
      <c r="H17" s="75" t="s">
        <v>61</v>
      </c>
      <c r="I17" s="75" t="s">
        <v>61</v>
      </c>
      <c r="J17" s="75" t="s">
        <v>61</v>
      </c>
      <c r="K17" s="75" t="s">
        <v>61</v>
      </c>
      <c r="L17" s="75" t="s">
        <v>61</v>
      </c>
      <c r="M17" s="75" t="s">
        <v>61</v>
      </c>
      <c r="N17" s="75" t="s">
        <v>61</v>
      </c>
      <c r="O17" s="150"/>
      <c r="P17" s="234" t="s">
        <v>66</v>
      </c>
      <c r="R17" s="17"/>
    </row>
    <row r="18" spans="1:18" s="6" customFormat="1" ht="12.2" customHeight="1">
      <c r="A18" s="150" t="s">
        <v>63</v>
      </c>
      <c r="B18" s="150"/>
      <c r="C18" s="195"/>
      <c r="D18" s="75">
        <f>47530+11557</f>
        <v>59087</v>
      </c>
      <c r="E18" s="75">
        <f>48479+12552</f>
        <v>61031</v>
      </c>
      <c r="F18" s="75">
        <v>57541</v>
      </c>
      <c r="G18" s="75">
        <v>57494</v>
      </c>
      <c r="H18" s="75">
        <f>37476+11837</f>
        <v>49313</v>
      </c>
      <c r="I18" s="75">
        <f>42456+15319</f>
        <v>57775</v>
      </c>
      <c r="J18" s="75">
        <f>44079+14646</f>
        <v>58725</v>
      </c>
      <c r="K18" s="75">
        <f>51241+15134</f>
        <v>66375</v>
      </c>
      <c r="L18" s="75">
        <v>47630.895216999998</v>
      </c>
      <c r="M18" s="75">
        <v>49583.159498196459</v>
      </c>
      <c r="N18" s="75">
        <v>54522</v>
      </c>
      <c r="O18" s="150"/>
      <c r="P18" s="234" t="s">
        <v>67</v>
      </c>
      <c r="R18" s="48"/>
    </row>
    <row r="19" spans="1:18" s="6" customFormat="1" ht="12.2" customHeight="1">
      <c r="A19" s="150" t="s">
        <v>69</v>
      </c>
      <c r="B19" s="150"/>
      <c r="C19" s="195">
        <v>2356</v>
      </c>
      <c r="D19" s="75">
        <f>58547+33829+24341+2899</f>
        <v>119616</v>
      </c>
      <c r="E19" s="75">
        <f>60505+36438+23941+2428</f>
        <v>123312</v>
      </c>
      <c r="F19" s="75">
        <v>127412</v>
      </c>
      <c r="G19" s="75">
        <v>144565</v>
      </c>
      <c r="H19" s="75">
        <f>67035+56550+33842+7195</f>
        <v>164622</v>
      </c>
      <c r="I19" s="75">
        <f>71209+70949+35594+14793</f>
        <v>192545</v>
      </c>
      <c r="J19" s="75">
        <f>69790+81512+39117+17029</f>
        <v>207448</v>
      </c>
      <c r="K19" s="75">
        <f>70931+38084+91816+18141</f>
        <v>218972</v>
      </c>
      <c r="L19" s="75">
        <v>246004.19140800001</v>
      </c>
      <c r="M19" s="75">
        <v>262783.29395446874</v>
      </c>
      <c r="N19" s="75">
        <v>280741</v>
      </c>
      <c r="O19" s="150"/>
      <c r="P19" s="234" t="s">
        <v>68</v>
      </c>
      <c r="R19" s="17"/>
    </row>
    <row r="20" spans="1:18" s="6" customFormat="1" ht="12.2" customHeight="1">
      <c r="A20" s="150" t="s">
        <v>70</v>
      </c>
      <c r="B20" s="150"/>
      <c r="C20" s="195">
        <v>2783.7</v>
      </c>
      <c r="D20" s="75">
        <f t="shared" ref="D20:J20" si="1">SUM(D15:D19)</f>
        <v>284722</v>
      </c>
      <c r="E20" s="75">
        <f t="shared" si="1"/>
        <v>296199</v>
      </c>
      <c r="F20" s="75">
        <f t="shared" si="1"/>
        <v>308195</v>
      </c>
      <c r="G20" s="75">
        <f t="shared" si="1"/>
        <v>324041</v>
      </c>
      <c r="H20" s="75">
        <f t="shared" si="1"/>
        <v>353746</v>
      </c>
      <c r="I20" s="75">
        <f t="shared" si="1"/>
        <v>401425</v>
      </c>
      <c r="J20" s="75">
        <f t="shared" si="1"/>
        <v>429957</v>
      </c>
      <c r="K20" s="75">
        <f>SUM(K15:K19)</f>
        <v>465990</v>
      </c>
      <c r="L20" s="75">
        <f>SUM(L15:L19)</f>
        <v>474138.92958500003</v>
      </c>
      <c r="M20" s="75">
        <f>SUM(M15:M19)</f>
        <v>506736.64204102044</v>
      </c>
      <c r="N20" s="75">
        <f>SUM(N15:N19)</f>
        <v>549120</v>
      </c>
      <c r="O20" s="150"/>
      <c r="P20" s="234" t="s">
        <v>71</v>
      </c>
    </row>
    <row r="21" spans="1:18" s="6" customFormat="1" ht="18" customHeight="1">
      <c r="A21" s="188" t="s">
        <v>9</v>
      </c>
      <c r="B21" s="188" t="s">
        <v>144</v>
      </c>
      <c r="C21" s="19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 t="s">
        <v>145</v>
      </c>
      <c r="P21" s="189" t="s">
        <v>16</v>
      </c>
    </row>
    <row r="22" spans="1:18" s="6" customFormat="1" ht="12.2" customHeight="1">
      <c r="A22" s="150" t="s">
        <v>62</v>
      </c>
      <c r="B22" s="150"/>
      <c r="C22" s="195"/>
      <c r="D22" s="183"/>
      <c r="E22" s="183"/>
      <c r="F22" s="183"/>
      <c r="G22" s="183" t="s">
        <v>61</v>
      </c>
      <c r="H22" s="183" t="s">
        <v>61</v>
      </c>
      <c r="I22" s="75">
        <v>315013</v>
      </c>
      <c r="J22" s="75">
        <v>417113</v>
      </c>
      <c r="K22" s="75">
        <v>571705</v>
      </c>
      <c r="L22" s="75">
        <v>1304607</v>
      </c>
      <c r="M22" s="75">
        <f>1701313</f>
        <v>1701313</v>
      </c>
      <c r="N22" s="75">
        <v>1808520</v>
      </c>
      <c r="O22" s="150"/>
      <c r="P22" s="234" t="s">
        <v>64</v>
      </c>
      <c r="R22" s="17"/>
    </row>
    <row r="23" spans="1:18" s="6" customFormat="1" ht="12.2" customHeight="1">
      <c r="A23" s="150" t="s">
        <v>169</v>
      </c>
      <c r="B23" s="150"/>
      <c r="C23" s="195"/>
      <c r="D23" s="183"/>
      <c r="E23" s="183"/>
      <c r="F23" s="183"/>
      <c r="G23" s="183" t="s">
        <v>61</v>
      </c>
      <c r="H23" s="183" t="s">
        <v>61</v>
      </c>
      <c r="I23" s="75">
        <f>348776+643</f>
        <v>349419</v>
      </c>
      <c r="J23" s="75">
        <f>414082+78</f>
        <v>414160</v>
      </c>
      <c r="K23" s="75">
        <f>536013+10</f>
        <v>536023</v>
      </c>
      <c r="L23" s="75">
        <f>2506362+70</f>
        <v>2506432</v>
      </c>
      <c r="M23" s="75">
        <f>161962+1476952+10</f>
        <v>1638924</v>
      </c>
      <c r="N23" s="75">
        <f>5876+1641685+118261</f>
        <v>1765822</v>
      </c>
      <c r="O23" s="150"/>
      <c r="P23" s="234" t="s">
        <v>65</v>
      </c>
      <c r="R23" s="17"/>
    </row>
    <row r="24" spans="1:18" s="6" customFormat="1" ht="12.2" customHeight="1">
      <c r="A24" s="150" t="s">
        <v>170</v>
      </c>
      <c r="B24" s="150"/>
      <c r="C24" s="195"/>
      <c r="D24" s="183"/>
      <c r="E24" s="183"/>
      <c r="F24" s="183"/>
      <c r="G24" s="183" t="s">
        <v>61</v>
      </c>
      <c r="H24" s="183" t="s">
        <v>61</v>
      </c>
      <c r="I24" s="75">
        <v>966672</v>
      </c>
      <c r="J24" s="75">
        <v>1188493</v>
      </c>
      <c r="K24" s="75">
        <v>2170385</v>
      </c>
      <c r="L24" s="75">
        <v>4209007</v>
      </c>
      <c r="M24" s="75">
        <f>6362048</f>
        <v>6362048</v>
      </c>
      <c r="N24" s="75">
        <v>7770190</v>
      </c>
      <c r="O24" s="150"/>
      <c r="P24" s="234" t="s">
        <v>66</v>
      </c>
      <c r="R24" s="17"/>
    </row>
    <row r="25" spans="1:18" s="6" customFormat="1" ht="12.2" customHeight="1">
      <c r="A25" s="150" t="s">
        <v>63</v>
      </c>
      <c r="B25" s="150"/>
      <c r="C25" s="195"/>
      <c r="D25" s="183"/>
      <c r="E25" s="183"/>
      <c r="F25" s="183"/>
      <c r="G25" s="183" t="s">
        <v>61</v>
      </c>
      <c r="H25" s="183" t="s">
        <v>61</v>
      </c>
      <c r="I25" s="75">
        <v>1779352</v>
      </c>
      <c r="J25" s="75">
        <v>1942951</v>
      </c>
      <c r="K25" s="75">
        <v>2157667</v>
      </c>
      <c r="L25" s="75">
        <v>3456457</v>
      </c>
      <c r="M25" s="75">
        <f>6213249</f>
        <v>6213249</v>
      </c>
      <c r="N25" s="75"/>
      <c r="O25" s="150"/>
      <c r="P25" s="234" t="s">
        <v>67</v>
      </c>
      <c r="R25" s="17"/>
    </row>
    <row r="26" spans="1:18" s="6" customFormat="1" ht="12.2" customHeight="1">
      <c r="A26" s="150" t="s">
        <v>69</v>
      </c>
      <c r="B26" s="150"/>
      <c r="C26" s="195">
        <v>2356</v>
      </c>
      <c r="D26" s="183"/>
      <c r="E26" s="183"/>
      <c r="F26" s="183"/>
      <c r="G26" s="183" t="s">
        <v>61</v>
      </c>
      <c r="H26" s="183" t="s">
        <v>61</v>
      </c>
      <c r="I26" s="75">
        <v>1176998</v>
      </c>
      <c r="J26" s="75">
        <v>1727345</v>
      </c>
      <c r="K26" s="75">
        <v>6285755</v>
      </c>
      <c r="L26" s="75">
        <f>84577+892259+123978+7761270+5489</f>
        <v>8867573</v>
      </c>
      <c r="M26" s="75">
        <f>M27-(M22+M23+M24+M25)</f>
        <v>12523154</v>
      </c>
      <c r="N26" s="75"/>
      <c r="O26" s="150"/>
      <c r="P26" s="234" t="s">
        <v>68</v>
      </c>
      <c r="R26" s="17"/>
    </row>
    <row r="27" spans="1:18" s="6" customFormat="1" ht="12.2" customHeight="1">
      <c r="A27" s="150" t="s">
        <v>70</v>
      </c>
      <c r="B27" s="150"/>
      <c r="C27" s="195">
        <v>2783.7</v>
      </c>
      <c r="D27" s="183"/>
      <c r="E27" s="183"/>
      <c r="F27" s="183"/>
      <c r="G27" s="183" t="s">
        <v>61</v>
      </c>
      <c r="H27" s="183" t="s">
        <v>61</v>
      </c>
      <c r="I27" s="75">
        <f>SUM(I22:I26)</f>
        <v>4587454</v>
      </c>
      <c r="J27" s="75">
        <f>SUM(J22:J26)</f>
        <v>5690062</v>
      </c>
      <c r="K27" s="75">
        <f>SUM(K22:K26)</f>
        <v>11721535</v>
      </c>
      <c r="L27" s="75">
        <f>SUM(L22:L26)</f>
        <v>20344076</v>
      </c>
      <c r="M27" s="75">
        <v>28438688</v>
      </c>
      <c r="N27" s="75">
        <v>29952012</v>
      </c>
      <c r="O27" s="150"/>
      <c r="P27" s="234" t="s">
        <v>71</v>
      </c>
    </row>
    <row r="28" spans="1:18" s="6" customFormat="1" ht="18" customHeight="1">
      <c r="A28" s="188" t="s">
        <v>10</v>
      </c>
      <c r="B28" s="188" t="s">
        <v>144</v>
      </c>
      <c r="C28" s="19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 t="s">
        <v>145</v>
      </c>
      <c r="P28" s="189" t="s">
        <v>286</v>
      </c>
    </row>
    <row r="29" spans="1:18" s="6" customFormat="1" ht="12.2" customHeight="1">
      <c r="A29" s="150" t="s">
        <v>62</v>
      </c>
      <c r="B29" s="150"/>
      <c r="C29" s="195"/>
      <c r="D29" s="75">
        <v>98.8</v>
      </c>
      <c r="E29" s="75">
        <v>113.6</v>
      </c>
      <c r="F29" s="75">
        <v>110.9</v>
      </c>
      <c r="G29" s="75">
        <v>140.9</v>
      </c>
      <c r="H29" s="75">
        <v>156.19999999999999</v>
      </c>
      <c r="I29" s="75">
        <v>210</v>
      </c>
      <c r="J29" s="75">
        <v>231.2</v>
      </c>
      <c r="K29" s="75">
        <v>211.8</v>
      </c>
      <c r="L29" s="75">
        <v>229.2</v>
      </c>
      <c r="M29" s="75">
        <f>254.9</f>
        <v>254.9</v>
      </c>
      <c r="N29" s="75">
        <v>235.7</v>
      </c>
      <c r="O29" s="150"/>
      <c r="P29" s="234" t="s">
        <v>64</v>
      </c>
      <c r="R29" s="17"/>
    </row>
    <row r="30" spans="1:18" s="6" customFormat="1" ht="12.2" customHeight="1">
      <c r="A30" s="150" t="s">
        <v>169</v>
      </c>
      <c r="B30" s="150"/>
      <c r="C30" s="195"/>
      <c r="D30" s="75">
        <v>879.4</v>
      </c>
      <c r="E30" s="75">
        <v>973</v>
      </c>
      <c r="F30" s="75">
        <v>1038.0999999999999</v>
      </c>
      <c r="G30" s="75">
        <v>1135.9000000000001</v>
      </c>
      <c r="H30" s="75">
        <v>1413.8</v>
      </c>
      <c r="I30" s="75">
        <v>1645.9</v>
      </c>
      <c r="J30" s="75">
        <f>60.2+1631.2</f>
        <v>1691.4</v>
      </c>
      <c r="K30" s="75">
        <f>55.4+1929</f>
        <v>1984.4</v>
      </c>
      <c r="L30" s="75">
        <f>79.5+2297.2</f>
        <v>2376.6999999999998</v>
      </c>
      <c r="M30" s="75">
        <f>2515.7+73</f>
        <v>2588.6999999999998</v>
      </c>
      <c r="N30" s="75">
        <f>164.1+2649.6</f>
        <v>2813.7</v>
      </c>
      <c r="O30" s="150"/>
      <c r="P30" s="234" t="s">
        <v>65</v>
      </c>
      <c r="R30" s="17"/>
    </row>
    <row r="31" spans="1:18" s="6" customFormat="1" ht="12.2" customHeight="1">
      <c r="A31" s="150" t="s">
        <v>170</v>
      </c>
      <c r="B31" s="150"/>
      <c r="C31" s="195"/>
      <c r="D31" s="75">
        <v>804.5</v>
      </c>
      <c r="E31" s="75">
        <v>953.2</v>
      </c>
      <c r="F31" s="75">
        <v>1162.0999999999999</v>
      </c>
      <c r="G31" s="75">
        <v>1560.8</v>
      </c>
      <c r="H31" s="75">
        <v>1942.1</v>
      </c>
      <c r="I31" s="75">
        <v>2293.1</v>
      </c>
      <c r="J31" s="75">
        <v>2582.5</v>
      </c>
      <c r="K31" s="75">
        <v>3167.7</v>
      </c>
      <c r="L31" s="75">
        <v>3463.6</v>
      </c>
      <c r="M31" s="75">
        <v>3682.6</v>
      </c>
      <c r="N31" s="75">
        <v>4086.4</v>
      </c>
      <c r="O31" s="150"/>
      <c r="P31" s="234" t="s">
        <v>66</v>
      </c>
      <c r="R31" s="17"/>
    </row>
    <row r="32" spans="1:18" s="6" customFormat="1" ht="12.2" customHeight="1">
      <c r="A32" s="150" t="s">
        <v>63</v>
      </c>
      <c r="B32" s="150"/>
      <c r="C32" s="195"/>
      <c r="D32" s="75">
        <v>1327.3</v>
      </c>
      <c r="E32" s="75">
        <v>1472.9</v>
      </c>
      <c r="F32" s="75">
        <v>1585</v>
      </c>
      <c r="G32" s="75">
        <v>1916.6</v>
      </c>
      <c r="H32" s="75">
        <v>2434.6999999999998</v>
      </c>
      <c r="I32" s="75">
        <v>2897.5</v>
      </c>
      <c r="J32" s="75">
        <v>3195.4</v>
      </c>
      <c r="K32" s="75">
        <v>3594</v>
      </c>
      <c r="L32" s="75">
        <v>3779</v>
      </c>
      <c r="M32" s="75">
        <v>3754.9</v>
      </c>
      <c r="N32" s="75">
        <v>3937.3</v>
      </c>
      <c r="O32" s="150"/>
      <c r="P32" s="234" t="s">
        <v>67</v>
      </c>
      <c r="R32" s="17"/>
    </row>
    <row r="33" spans="1:18" s="6" customFormat="1" ht="12.2" customHeight="1">
      <c r="A33" s="150" t="s">
        <v>69</v>
      </c>
      <c r="B33" s="150"/>
      <c r="C33" s="195">
        <v>2356</v>
      </c>
      <c r="D33" s="75">
        <v>2455.1</v>
      </c>
      <c r="E33" s="75">
        <v>3117.7</v>
      </c>
      <c r="F33" s="75">
        <v>4244.8</v>
      </c>
      <c r="G33" s="75">
        <v>5467.3</v>
      </c>
      <c r="H33" s="75">
        <v>5922</v>
      </c>
      <c r="I33" s="75">
        <v>5997</v>
      </c>
      <c r="J33" s="75">
        <f>453.1+427.9+909.5+434.1+3392.1</f>
        <v>5616.7</v>
      </c>
      <c r="K33" s="75">
        <f>484.1+457.3+1050+408.3+3093.8</f>
        <v>5493.5</v>
      </c>
      <c r="L33" s="75">
        <f>531.6+493.7+1135.3+430.5+3411.6</f>
        <v>6002.7</v>
      </c>
      <c r="M33" s="75">
        <f>M34-(M29+M30+M31+M32)</f>
        <v>7548.6999999999989</v>
      </c>
      <c r="N33" s="75">
        <f>536.7+503.5+2172.6+508.8+4145.1</f>
        <v>7866.7000000000007</v>
      </c>
      <c r="O33" s="150"/>
      <c r="P33" s="234" t="s">
        <v>68</v>
      </c>
      <c r="R33" s="87"/>
    </row>
    <row r="34" spans="1:18" s="6" customFormat="1" ht="12.2" customHeight="1">
      <c r="A34" s="150" t="s">
        <v>70</v>
      </c>
      <c r="B34" s="150"/>
      <c r="C34" s="195">
        <v>2783.7</v>
      </c>
      <c r="D34" s="75">
        <f t="shared" ref="D34:J34" si="2">SUM(D29:D33)</f>
        <v>5565.1</v>
      </c>
      <c r="E34" s="75">
        <f t="shared" si="2"/>
        <v>6630.4</v>
      </c>
      <c r="F34" s="75">
        <f t="shared" si="2"/>
        <v>8140.9</v>
      </c>
      <c r="G34" s="75">
        <f t="shared" si="2"/>
        <v>10221.5</v>
      </c>
      <c r="H34" s="75">
        <f t="shared" si="2"/>
        <v>11868.8</v>
      </c>
      <c r="I34" s="75">
        <f t="shared" si="2"/>
        <v>13043.5</v>
      </c>
      <c r="J34" s="75">
        <f t="shared" si="2"/>
        <v>13317.2</v>
      </c>
      <c r="K34" s="75">
        <f>SUM(K29:K33)</f>
        <v>14451.4</v>
      </c>
      <c r="L34" s="75">
        <f>SUM(L29:L33)</f>
        <v>15851.2</v>
      </c>
      <c r="M34" s="75">
        <v>17829.8</v>
      </c>
      <c r="N34" s="75">
        <f>SUM(N29:N33)</f>
        <v>18939.8</v>
      </c>
      <c r="O34" s="150"/>
      <c r="P34" s="234" t="s">
        <v>71</v>
      </c>
    </row>
    <row r="35" spans="1:18" s="6" customFormat="1" ht="18" customHeight="1">
      <c r="A35" s="188" t="s">
        <v>11</v>
      </c>
      <c r="B35" s="188" t="s">
        <v>144</v>
      </c>
      <c r="C35" s="19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 t="s">
        <v>145</v>
      </c>
      <c r="P35" s="189" t="s">
        <v>303</v>
      </c>
    </row>
    <row r="36" spans="1:18" s="6" customFormat="1" ht="12.2" customHeight="1">
      <c r="A36" s="150" t="s">
        <v>62</v>
      </c>
      <c r="B36" s="150"/>
      <c r="C36" s="195"/>
      <c r="D36" s="75">
        <v>13.2</v>
      </c>
      <c r="E36" s="75">
        <v>11.5</v>
      </c>
      <c r="F36" s="75">
        <v>8.4</v>
      </c>
      <c r="G36" s="75">
        <v>36</v>
      </c>
      <c r="H36" s="75">
        <v>14.6</v>
      </c>
      <c r="I36" s="75">
        <v>12.4</v>
      </c>
      <c r="J36" s="75">
        <v>12.4</v>
      </c>
      <c r="K36" s="75">
        <v>8.9</v>
      </c>
      <c r="L36" s="75">
        <v>9.6999999999999993</v>
      </c>
      <c r="M36" s="75">
        <v>11</v>
      </c>
      <c r="N36" s="75">
        <v>15.9</v>
      </c>
      <c r="O36" s="150"/>
      <c r="P36" s="234" t="s">
        <v>64</v>
      </c>
      <c r="R36" s="17"/>
    </row>
    <row r="37" spans="1:18" s="6" customFormat="1" ht="12.2" customHeight="1">
      <c r="A37" s="150" t="s">
        <v>169</v>
      </c>
      <c r="B37" s="150"/>
      <c r="C37" s="195"/>
      <c r="D37" s="75">
        <v>225.2</v>
      </c>
      <c r="E37" s="75">
        <v>267.3</v>
      </c>
      <c r="F37" s="75">
        <v>314.89999999999998</v>
      </c>
      <c r="G37" s="75">
        <v>608.9</v>
      </c>
      <c r="H37" s="75">
        <v>1071</v>
      </c>
      <c r="I37" s="75">
        <v>1465.2</v>
      </c>
      <c r="J37" s="75">
        <v>1500.9</v>
      </c>
      <c r="K37" s="75">
        <v>1617.4</v>
      </c>
      <c r="L37" s="75">
        <v>1749.6</v>
      </c>
      <c r="M37" s="75">
        <v>1767.8</v>
      </c>
      <c r="N37" s="75">
        <v>1773.6</v>
      </c>
      <c r="O37" s="150"/>
      <c r="P37" s="234" t="s">
        <v>65</v>
      </c>
      <c r="R37" s="17"/>
    </row>
    <row r="38" spans="1:18" s="6" customFormat="1" ht="12.2" customHeight="1">
      <c r="A38" s="150" t="s">
        <v>170</v>
      </c>
      <c r="B38" s="150"/>
      <c r="C38" s="195"/>
      <c r="D38" s="75">
        <v>418.7</v>
      </c>
      <c r="E38" s="75">
        <v>363.1</v>
      </c>
      <c r="F38" s="75">
        <v>453.9</v>
      </c>
      <c r="G38" s="75">
        <v>1069.5999999999999</v>
      </c>
      <c r="H38" s="75">
        <v>1366.8</v>
      </c>
      <c r="I38" s="75">
        <v>1674.4</v>
      </c>
      <c r="J38" s="75">
        <v>1786.7</v>
      </c>
      <c r="K38" s="75">
        <v>1807.8</v>
      </c>
      <c r="L38" s="75">
        <v>1748.6</v>
      </c>
      <c r="M38" s="75">
        <v>1744.9</v>
      </c>
      <c r="N38" s="75">
        <v>1916.6</v>
      </c>
      <c r="O38" s="150"/>
      <c r="P38" s="234" t="s">
        <v>66</v>
      </c>
      <c r="R38" s="17"/>
    </row>
    <row r="39" spans="1:18" s="6" customFormat="1" ht="12.2" customHeight="1">
      <c r="A39" s="150" t="s">
        <v>63</v>
      </c>
      <c r="B39" s="150"/>
      <c r="C39" s="195"/>
      <c r="D39" s="75">
        <v>965.4</v>
      </c>
      <c r="E39" s="75">
        <v>999.6</v>
      </c>
      <c r="F39" s="75">
        <v>1193.2</v>
      </c>
      <c r="G39" s="75">
        <v>1702</v>
      </c>
      <c r="H39" s="75">
        <v>1899.8</v>
      </c>
      <c r="I39" s="75">
        <v>2284.9</v>
      </c>
      <c r="J39" s="75">
        <v>2260.6999999999998</v>
      </c>
      <c r="K39" s="75">
        <v>2299.1</v>
      </c>
      <c r="L39" s="75">
        <v>2307.1999999999998</v>
      </c>
      <c r="M39" s="75">
        <v>2475.1</v>
      </c>
      <c r="N39" s="75">
        <v>2743.9</v>
      </c>
      <c r="O39" s="150"/>
      <c r="P39" s="234" t="s">
        <v>67</v>
      </c>
      <c r="R39" s="86"/>
    </row>
    <row r="40" spans="1:18" s="6" customFormat="1" ht="12.2" customHeight="1">
      <c r="A40" s="150" t="s">
        <v>69</v>
      </c>
      <c r="B40" s="150"/>
      <c r="C40" s="195">
        <v>2356</v>
      </c>
      <c r="D40" s="75">
        <v>3011.4</v>
      </c>
      <c r="E40" s="75">
        <v>2863.6</v>
      </c>
      <c r="F40" s="75">
        <v>4013.9</v>
      </c>
      <c r="G40" s="75">
        <v>11517.4</v>
      </c>
      <c r="H40" s="75">
        <v>15784.9</v>
      </c>
      <c r="I40" s="75">
        <v>18229</v>
      </c>
      <c r="J40" s="75">
        <f t="shared" ref="J40:L40" si="3">J41-(J39+J38+J37+J36)</f>
        <v>19547.200000000004</v>
      </c>
      <c r="K40" s="75">
        <f t="shared" si="3"/>
        <v>19467.599999999999</v>
      </c>
      <c r="L40" s="75">
        <f t="shared" si="3"/>
        <v>19796.400000000001</v>
      </c>
      <c r="M40" s="75">
        <f>M41-(M39+M38+M37+M36)</f>
        <v>20798</v>
      </c>
      <c r="N40" s="75">
        <f>N41-(N39+N38+N37+N36)</f>
        <v>22510.9</v>
      </c>
      <c r="O40" s="150"/>
      <c r="P40" s="234" t="s">
        <v>68</v>
      </c>
      <c r="R40" s="17"/>
    </row>
    <row r="41" spans="1:18" s="6" customFormat="1" ht="12.2" customHeight="1">
      <c r="A41" s="150" t="s">
        <v>70</v>
      </c>
      <c r="B41" s="150"/>
      <c r="C41" s="195">
        <v>2783.7</v>
      </c>
      <c r="D41" s="75">
        <f t="shared" ref="D41:I41" si="4">SUM(D36:D40)</f>
        <v>4633.8999999999996</v>
      </c>
      <c r="E41" s="75">
        <f t="shared" si="4"/>
        <v>4505.1000000000004</v>
      </c>
      <c r="F41" s="75">
        <f t="shared" si="4"/>
        <v>5984.3</v>
      </c>
      <c r="G41" s="75">
        <f t="shared" si="4"/>
        <v>14933.9</v>
      </c>
      <c r="H41" s="75">
        <f t="shared" si="4"/>
        <v>20137.099999999999</v>
      </c>
      <c r="I41" s="75">
        <f t="shared" si="4"/>
        <v>23665.9</v>
      </c>
      <c r="J41" s="75">
        <v>25107.9</v>
      </c>
      <c r="K41" s="75">
        <v>25200.799999999999</v>
      </c>
      <c r="L41" s="75">
        <v>25611.5</v>
      </c>
      <c r="M41" s="75">
        <v>26796.799999999999</v>
      </c>
      <c r="N41" s="75">
        <v>28960.9</v>
      </c>
      <c r="O41" s="150"/>
      <c r="P41" s="234" t="s">
        <v>71</v>
      </c>
    </row>
    <row r="42" spans="1:18" s="6" customFormat="1" ht="18" customHeight="1">
      <c r="A42" s="188" t="s">
        <v>6</v>
      </c>
      <c r="B42" s="188" t="s">
        <v>159</v>
      </c>
      <c r="C42" s="19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 t="s">
        <v>150</v>
      </c>
      <c r="P42" s="189" t="s">
        <v>7</v>
      </c>
    </row>
    <row r="43" spans="1:18" s="6" customFormat="1" ht="12.2" customHeight="1">
      <c r="A43" s="150" t="s">
        <v>62</v>
      </c>
      <c r="B43" s="150"/>
      <c r="C43" s="195"/>
      <c r="D43" s="75">
        <v>346</v>
      </c>
      <c r="E43" s="75">
        <v>292.01</v>
      </c>
      <c r="F43" s="75">
        <v>343.59699999999998</v>
      </c>
      <c r="G43" s="75">
        <v>328.36099999999999</v>
      </c>
      <c r="H43" s="75">
        <v>361.72899999999998</v>
      </c>
      <c r="I43" s="75">
        <v>426.03800000000001</v>
      </c>
      <c r="J43" s="75">
        <v>421.334</v>
      </c>
      <c r="K43" s="75">
        <v>553.65800000000002</v>
      </c>
      <c r="L43" s="75">
        <v>643.529</v>
      </c>
      <c r="M43" s="75">
        <v>683.26499999999999</v>
      </c>
      <c r="N43" s="75">
        <v>824.34400000000005</v>
      </c>
      <c r="O43" s="150"/>
      <c r="P43" s="234" t="s">
        <v>64</v>
      </c>
      <c r="R43" s="17"/>
    </row>
    <row r="44" spans="1:18" s="6" customFormat="1" ht="12.2" customHeight="1">
      <c r="A44" s="150" t="s">
        <v>169</v>
      </c>
      <c r="B44" s="150"/>
      <c r="C44" s="195"/>
      <c r="D44" s="75">
        <v>3451</v>
      </c>
      <c r="E44" s="75">
        <v>3774.3669999999997</v>
      </c>
      <c r="F44" s="75">
        <v>3851.5170000000003</v>
      </c>
      <c r="G44" s="75">
        <v>3945.049</v>
      </c>
      <c r="H44" s="75">
        <v>4520.46</v>
      </c>
      <c r="I44" s="75">
        <v>5403.0789999999997</v>
      </c>
      <c r="J44" s="75">
        <v>5628.51</v>
      </c>
      <c r="K44" s="75">
        <v>6564.45</v>
      </c>
      <c r="L44" s="75">
        <v>7445.2690000000002</v>
      </c>
      <c r="M44" s="75">
        <v>8438.4680000000008</v>
      </c>
      <c r="N44" s="75">
        <v>9007.2189999999991</v>
      </c>
      <c r="O44" s="150"/>
      <c r="P44" s="234" t="s">
        <v>65</v>
      </c>
      <c r="R44" s="17"/>
    </row>
    <row r="45" spans="1:18" s="6" customFormat="1" ht="12.2" customHeight="1">
      <c r="A45" s="150" t="s">
        <v>170</v>
      </c>
      <c r="B45" s="150"/>
      <c r="C45" s="195"/>
      <c r="D45" s="75">
        <v>4327</v>
      </c>
      <c r="E45" s="75">
        <v>5916.0969999999998</v>
      </c>
      <c r="F45" s="75">
        <v>5489.4719999999998</v>
      </c>
      <c r="G45" s="75">
        <v>5827.3969999999999</v>
      </c>
      <c r="H45" s="75">
        <v>6809.22</v>
      </c>
      <c r="I45" s="75">
        <v>6501.58</v>
      </c>
      <c r="J45" s="75">
        <v>7294.5129999999999</v>
      </c>
      <c r="K45" s="75">
        <v>9493.8619999999992</v>
      </c>
      <c r="L45" s="75">
        <v>10751.123</v>
      </c>
      <c r="M45" s="75">
        <v>12267.172</v>
      </c>
      <c r="N45" s="75">
        <v>13839.852999999999</v>
      </c>
      <c r="O45" s="150"/>
      <c r="P45" s="234" t="s">
        <v>66</v>
      </c>
      <c r="R45" s="17"/>
    </row>
    <row r="46" spans="1:18" s="6" customFormat="1" ht="12.2" customHeight="1">
      <c r="A46" s="150" t="s">
        <v>63</v>
      </c>
      <c r="B46" s="150"/>
      <c r="C46" s="195"/>
      <c r="D46" s="75">
        <v>8000</v>
      </c>
      <c r="E46" s="75">
        <v>8404.2829999999994</v>
      </c>
      <c r="F46" s="75">
        <v>7993.8860000000004</v>
      </c>
      <c r="G46" s="75">
        <v>8061.3160000000007</v>
      </c>
      <c r="H46" s="75">
        <v>8952.2379999999994</v>
      </c>
      <c r="I46" s="75">
        <v>17266.414000000001</v>
      </c>
      <c r="J46" s="75">
        <v>18177.844000000001</v>
      </c>
      <c r="K46" s="75">
        <v>21046.335999999999</v>
      </c>
      <c r="L46" s="75">
        <v>23257.407999999999</v>
      </c>
      <c r="M46" s="75">
        <v>25413.580999999998</v>
      </c>
      <c r="N46" s="75">
        <v>27501.100999999999</v>
      </c>
      <c r="O46" s="150"/>
      <c r="P46" s="234" t="s">
        <v>67</v>
      </c>
      <c r="R46" s="48"/>
    </row>
    <row r="47" spans="1:18" s="6" customFormat="1" ht="12.2" customHeight="1">
      <c r="A47" s="150" t="s">
        <v>69</v>
      </c>
      <c r="B47" s="150"/>
      <c r="C47" s="195">
        <v>2356</v>
      </c>
      <c r="D47" s="75">
        <f>3324+848+929+3748</f>
        <v>8849</v>
      </c>
      <c r="E47" s="75">
        <v>7479.8390000000009</v>
      </c>
      <c r="F47" s="75">
        <v>8159.7610000000004</v>
      </c>
      <c r="G47" s="75">
        <v>9614.58</v>
      </c>
      <c r="H47" s="75">
        <v>12093.721000000001</v>
      </c>
      <c r="I47" s="75">
        <v>12495.302</v>
      </c>
      <c r="J47" s="75">
        <f>3878.104+10577.194+1606.337</f>
        <v>16061.634999999998</v>
      </c>
      <c r="K47" s="75">
        <f>4927.397+2035.764+13722.937</f>
        <v>20686.097999999998</v>
      </c>
      <c r="L47" s="75">
        <f>5225.626+2055.357+16867.507</f>
        <v>24148.49</v>
      </c>
      <c r="M47" s="75">
        <f>M48-(M46+M45+M44+M43)</f>
        <v>26704.025000000001</v>
      </c>
      <c r="N47" s="75">
        <f>4315.444+2081.578+22207.101</f>
        <v>28604.123</v>
      </c>
      <c r="O47" s="150"/>
      <c r="P47" s="234" t="s">
        <v>68</v>
      </c>
      <c r="R47" s="17"/>
    </row>
    <row r="48" spans="1:18" s="6" customFormat="1" ht="12.2" customHeight="1">
      <c r="A48" s="150" t="s">
        <v>70</v>
      </c>
      <c r="B48" s="150"/>
      <c r="C48" s="195">
        <v>2783.7</v>
      </c>
      <c r="D48" s="75">
        <f t="shared" ref="D48:J48" si="5">SUM(D43:D47)</f>
        <v>24973</v>
      </c>
      <c r="E48" s="75">
        <f t="shared" si="5"/>
        <v>25866.595999999998</v>
      </c>
      <c r="F48" s="75">
        <f t="shared" si="5"/>
        <v>25838.233</v>
      </c>
      <c r="G48" s="75">
        <f t="shared" si="5"/>
        <v>27776.703000000001</v>
      </c>
      <c r="H48" s="75">
        <f t="shared" si="5"/>
        <v>32737.367999999999</v>
      </c>
      <c r="I48" s="75">
        <f t="shared" si="5"/>
        <v>42092.413</v>
      </c>
      <c r="J48" s="75">
        <f t="shared" si="5"/>
        <v>47583.835999999996</v>
      </c>
      <c r="K48" s="75">
        <f>SUM(K43:K47)</f>
        <v>58344.403999999995</v>
      </c>
      <c r="L48" s="75">
        <f>SUM(L43:L47)</f>
        <v>66245.819000000003</v>
      </c>
      <c r="M48" s="75">
        <v>73506.510999999999</v>
      </c>
      <c r="N48" s="75">
        <v>79776.639999999999</v>
      </c>
      <c r="O48" s="150"/>
      <c r="P48" s="234" t="s">
        <v>71</v>
      </c>
    </row>
    <row r="49" spans="1:18" s="6" customFormat="1" ht="18" customHeight="1">
      <c r="A49" s="188" t="s">
        <v>206</v>
      </c>
      <c r="B49" s="188" t="s">
        <v>144</v>
      </c>
      <c r="C49" s="19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 t="s">
        <v>145</v>
      </c>
      <c r="P49" s="189" t="s">
        <v>208</v>
      </c>
    </row>
    <row r="50" spans="1:18" s="6" customFormat="1" ht="12.2" customHeight="1">
      <c r="A50" s="150" t="s">
        <v>62</v>
      </c>
      <c r="B50" s="150"/>
      <c r="C50" s="195"/>
      <c r="D50" s="75">
        <v>346</v>
      </c>
      <c r="E50" s="75">
        <v>292.01</v>
      </c>
      <c r="F50" s="75">
        <v>343.59699999999998</v>
      </c>
      <c r="G50" s="75">
        <v>328.36099999999999</v>
      </c>
      <c r="H50" s="75">
        <v>361.72899999999998</v>
      </c>
      <c r="I50" s="75" t="s">
        <v>61</v>
      </c>
      <c r="J50" s="75" t="s">
        <v>61</v>
      </c>
      <c r="K50" s="75" t="s">
        <v>61</v>
      </c>
      <c r="L50" s="75" t="s">
        <v>61</v>
      </c>
      <c r="M50" s="75" t="s">
        <v>61</v>
      </c>
      <c r="N50" s="75" t="s">
        <v>61</v>
      </c>
      <c r="O50" s="181"/>
      <c r="P50" s="234" t="s">
        <v>64</v>
      </c>
      <c r="R50" s="17"/>
    </row>
    <row r="51" spans="1:18" s="6" customFormat="1" ht="12.2" customHeight="1">
      <c r="A51" s="150" t="s">
        <v>169</v>
      </c>
      <c r="B51" s="150"/>
      <c r="C51" s="195"/>
      <c r="D51" s="75">
        <v>3451</v>
      </c>
      <c r="E51" s="75">
        <v>3774.3669999999997</v>
      </c>
      <c r="F51" s="75">
        <v>3851.5170000000003</v>
      </c>
      <c r="G51" s="75">
        <v>3945.049</v>
      </c>
      <c r="H51" s="75">
        <v>4520.46</v>
      </c>
      <c r="I51" s="75" t="s">
        <v>61</v>
      </c>
      <c r="J51" s="75" t="s">
        <v>61</v>
      </c>
      <c r="K51" s="75" t="s">
        <v>61</v>
      </c>
      <c r="L51" s="75" t="s">
        <v>61</v>
      </c>
      <c r="M51" s="75" t="s">
        <v>61</v>
      </c>
      <c r="N51" s="75" t="s">
        <v>61</v>
      </c>
      <c r="O51" s="181"/>
      <c r="P51" s="234" t="s">
        <v>65</v>
      </c>
      <c r="R51" s="17"/>
    </row>
    <row r="52" spans="1:18" s="6" customFormat="1" ht="12.2" customHeight="1">
      <c r="A52" s="150" t="s">
        <v>170</v>
      </c>
      <c r="B52" s="150"/>
      <c r="C52" s="195"/>
      <c r="D52" s="75">
        <v>4327</v>
      </c>
      <c r="E52" s="75">
        <v>5916.0969999999998</v>
      </c>
      <c r="F52" s="75">
        <v>5489.4719999999998</v>
      </c>
      <c r="G52" s="75">
        <v>5827.3969999999999</v>
      </c>
      <c r="H52" s="75">
        <v>6809.22</v>
      </c>
      <c r="I52" s="75" t="s">
        <v>61</v>
      </c>
      <c r="J52" s="75" t="s">
        <v>61</v>
      </c>
      <c r="K52" s="75" t="s">
        <v>61</v>
      </c>
      <c r="L52" s="75" t="s">
        <v>61</v>
      </c>
      <c r="M52" s="75" t="s">
        <v>61</v>
      </c>
      <c r="N52" s="75" t="s">
        <v>61</v>
      </c>
      <c r="O52" s="181"/>
      <c r="P52" s="234" t="s">
        <v>66</v>
      </c>
      <c r="R52" s="17"/>
    </row>
    <row r="53" spans="1:18" s="6" customFormat="1" ht="12.2" customHeight="1">
      <c r="A53" s="150" t="s">
        <v>63</v>
      </c>
      <c r="B53" s="150"/>
      <c r="C53" s="195"/>
      <c r="D53" s="75">
        <v>8000</v>
      </c>
      <c r="E53" s="75">
        <v>8404.2829999999994</v>
      </c>
      <c r="F53" s="75">
        <v>7993.8860000000004</v>
      </c>
      <c r="G53" s="75">
        <v>8061.3160000000007</v>
      </c>
      <c r="H53" s="75">
        <v>8952.2379999999994</v>
      </c>
      <c r="I53" s="75" t="s">
        <v>61</v>
      </c>
      <c r="J53" s="75" t="s">
        <v>61</v>
      </c>
      <c r="K53" s="75" t="s">
        <v>61</v>
      </c>
      <c r="L53" s="75" t="s">
        <v>61</v>
      </c>
      <c r="M53" s="75" t="s">
        <v>61</v>
      </c>
      <c r="N53" s="75" t="s">
        <v>61</v>
      </c>
      <c r="O53" s="181"/>
      <c r="P53" s="234" t="s">
        <v>67</v>
      </c>
      <c r="R53" s="48"/>
    </row>
    <row r="54" spans="1:18" s="6" customFormat="1" ht="12.2" customHeight="1">
      <c r="A54" s="150" t="s">
        <v>69</v>
      </c>
      <c r="B54" s="150"/>
      <c r="C54" s="195">
        <v>2356</v>
      </c>
      <c r="D54" s="75">
        <f>3324+848+929+3748</f>
        <v>8849</v>
      </c>
      <c r="E54" s="75">
        <v>7479.8390000000009</v>
      </c>
      <c r="F54" s="75">
        <v>8159.7610000000004</v>
      </c>
      <c r="G54" s="75">
        <v>9614.58</v>
      </c>
      <c r="H54" s="75">
        <v>12093.721000000001</v>
      </c>
      <c r="I54" s="75" t="s">
        <v>61</v>
      </c>
      <c r="J54" s="75" t="s">
        <v>61</v>
      </c>
      <c r="K54" s="75" t="s">
        <v>61</v>
      </c>
      <c r="L54" s="75" t="s">
        <v>61</v>
      </c>
      <c r="M54" s="75" t="s">
        <v>61</v>
      </c>
      <c r="N54" s="75" t="s">
        <v>61</v>
      </c>
      <c r="O54" s="181"/>
      <c r="P54" s="234" t="s">
        <v>68</v>
      </c>
      <c r="R54" s="17"/>
    </row>
    <row r="55" spans="1:18" s="6" customFormat="1" ht="12.2" customHeight="1">
      <c r="A55" s="150" t="s">
        <v>70</v>
      </c>
      <c r="B55" s="150"/>
      <c r="C55" s="195">
        <v>2783.7</v>
      </c>
      <c r="D55" s="75">
        <f t="shared" ref="D55:H55" si="6">SUM(D50:D54)</f>
        <v>24973</v>
      </c>
      <c r="E55" s="75">
        <f t="shared" si="6"/>
        <v>25866.595999999998</v>
      </c>
      <c r="F55" s="75">
        <f t="shared" si="6"/>
        <v>25838.233</v>
      </c>
      <c r="G55" s="75">
        <f t="shared" si="6"/>
        <v>27776.703000000001</v>
      </c>
      <c r="H55" s="75">
        <f t="shared" si="6"/>
        <v>32737.367999999999</v>
      </c>
      <c r="I55" s="75">
        <v>10544.9</v>
      </c>
      <c r="J55" s="75">
        <v>11812.7</v>
      </c>
      <c r="K55" s="75">
        <v>13044.6</v>
      </c>
      <c r="L55" s="75">
        <v>12786.5</v>
      </c>
      <c r="M55" s="75">
        <v>15781.6</v>
      </c>
      <c r="N55" s="75">
        <v>18232.400000000001</v>
      </c>
      <c r="O55" s="181"/>
      <c r="P55" s="234" t="s">
        <v>71</v>
      </c>
    </row>
    <row r="56" spans="1:18" s="6" customFormat="1" ht="18" customHeight="1">
      <c r="A56" s="188" t="s">
        <v>209</v>
      </c>
      <c r="B56" s="188" t="s">
        <v>221</v>
      </c>
      <c r="C56" s="19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81" t="s">
        <v>157</v>
      </c>
      <c r="P56" s="189" t="s">
        <v>211</v>
      </c>
    </row>
    <row r="57" spans="1:18" s="6" customFormat="1" ht="12.2" customHeight="1">
      <c r="A57" s="150" t="s">
        <v>62</v>
      </c>
      <c r="B57" s="150"/>
      <c r="C57" s="195"/>
      <c r="D57" s="75">
        <v>346</v>
      </c>
      <c r="E57" s="75">
        <v>292.01</v>
      </c>
      <c r="F57" s="75">
        <v>343.59699999999998</v>
      </c>
      <c r="G57" s="75">
        <v>328.36099999999999</v>
      </c>
      <c r="H57" s="75">
        <v>361.72899999999998</v>
      </c>
      <c r="I57" s="75">
        <v>20594</v>
      </c>
      <c r="J57" s="75">
        <v>19566</v>
      </c>
      <c r="K57" s="75">
        <v>25293</v>
      </c>
      <c r="L57" s="75">
        <v>28400</v>
      </c>
      <c r="M57" s="75">
        <v>28007</v>
      </c>
      <c r="N57" s="75">
        <v>29008</v>
      </c>
      <c r="O57" s="150"/>
      <c r="P57" s="234" t="s">
        <v>64</v>
      </c>
      <c r="R57" s="17"/>
    </row>
    <row r="58" spans="1:18" s="6" customFormat="1" ht="12.2" customHeight="1">
      <c r="A58" s="150" t="s">
        <v>169</v>
      </c>
      <c r="B58" s="150"/>
      <c r="C58" s="195"/>
      <c r="D58" s="75">
        <v>3451</v>
      </c>
      <c r="E58" s="75">
        <v>3774.3669999999997</v>
      </c>
      <c r="F58" s="75">
        <v>3851.5170000000003</v>
      </c>
      <c r="G58" s="75">
        <v>3945.049</v>
      </c>
      <c r="H58" s="75">
        <v>4520.46</v>
      </c>
      <c r="I58" s="75">
        <v>17004</v>
      </c>
      <c r="J58" s="75">
        <v>16312</v>
      </c>
      <c r="K58" s="75">
        <v>19745</v>
      </c>
      <c r="L58" s="75">
        <v>22344</v>
      </c>
      <c r="M58" s="75">
        <v>24014</v>
      </c>
      <c r="N58" s="75">
        <v>25086</v>
      </c>
      <c r="O58" s="150"/>
      <c r="P58" s="234" t="s">
        <v>65</v>
      </c>
      <c r="R58" s="17"/>
    </row>
    <row r="59" spans="1:18" s="6" customFormat="1" ht="12.2" customHeight="1">
      <c r="A59" s="150" t="s">
        <v>170</v>
      </c>
      <c r="B59" s="150"/>
      <c r="C59" s="195"/>
      <c r="D59" s="75">
        <v>4327</v>
      </c>
      <c r="E59" s="75">
        <v>5916.0969999999998</v>
      </c>
      <c r="F59" s="75">
        <v>5489.4719999999998</v>
      </c>
      <c r="G59" s="75">
        <v>5827.3969999999999</v>
      </c>
      <c r="H59" s="75">
        <v>6809.22</v>
      </c>
      <c r="I59" s="75">
        <v>56769</v>
      </c>
      <c r="J59" s="75">
        <v>80851</v>
      </c>
      <c r="K59" s="75">
        <v>79442</v>
      </c>
      <c r="L59" s="75">
        <v>95841</v>
      </c>
      <c r="M59" s="75">
        <v>93657</v>
      </c>
      <c r="N59" s="75">
        <v>93792</v>
      </c>
      <c r="O59" s="150"/>
      <c r="P59" s="234" t="s">
        <v>66</v>
      </c>
      <c r="R59" s="17"/>
    </row>
    <row r="60" spans="1:18" s="6" customFormat="1" ht="12.2" customHeight="1">
      <c r="A60" s="150" t="s">
        <v>63</v>
      </c>
      <c r="B60" s="150"/>
      <c r="C60" s="195"/>
      <c r="D60" s="75">
        <v>8000</v>
      </c>
      <c r="E60" s="75">
        <v>8404.2829999999994</v>
      </c>
      <c r="F60" s="75">
        <v>7993.8860000000004</v>
      </c>
      <c r="G60" s="75">
        <v>8061.3160000000007</v>
      </c>
      <c r="H60" s="75">
        <v>8952.2379999999994</v>
      </c>
      <c r="I60" s="75">
        <v>34005</v>
      </c>
      <c r="J60" s="75">
        <v>37608</v>
      </c>
      <c r="K60" s="75">
        <v>38549</v>
      </c>
      <c r="L60" s="75">
        <v>45537</v>
      </c>
      <c r="M60" s="75">
        <v>49154</v>
      </c>
      <c r="N60" s="75">
        <v>46479</v>
      </c>
      <c r="O60" s="150"/>
      <c r="P60" s="234" t="s">
        <v>67</v>
      </c>
      <c r="R60" s="48"/>
    </row>
    <row r="61" spans="1:18" s="6" customFormat="1" ht="12.2" customHeight="1">
      <c r="A61" s="150" t="s">
        <v>69</v>
      </c>
      <c r="B61" s="150"/>
      <c r="C61" s="195">
        <v>2356</v>
      </c>
      <c r="D61" s="75">
        <f>3324+848+929+3748</f>
        <v>8849</v>
      </c>
      <c r="E61" s="75">
        <v>7479.8390000000009</v>
      </c>
      <c r="F61" s="75">
        <v>8159.7610000000004</v>
      </c>
      <c r="G61" s="75">
        <v>9614.58</v>
      </c>
      <c r="H61" s="75">
        <v>12093.721000000001</v>
      </c>
      <c r="I61" s="75">
        <v>49083</v>
      </c>
      <c r="J61" s="75">
        <v>36758</v>
      </c>
      <c r="K61" s="75">
        <v>44375</v>
      </c>
      <c r="L61" s="75">
        <v>50375</v>
      </c>
      <c r="M61" s="75">
        <v>61771</v>
      </c>
      <c r="N61" s="75">
        <v>57754</v>
      </c>
      <c r="O61" s="150"/>
      <c r="P61" s="234" t="s">
        <v>68</v>
      </c>
      <c r="R61" s="17"/>
    </row>
    <row r="62" spans="1:18" s="6" customFormat="1" ht="12.2" customHeight="1">
      <c r="A62" s="150" t="s">
        <v>70</v>
      </c>
      <c r="B62" s="150"/>
      <c r="C62" s="195">
        <v>2783.7</v>
      </c>
      <c r="D62" s="75">
        <f t="shared" ref="D62:H62" si="7">SUM(D57:D61)</f>
        <v>24973</v>
      </c>
      <c r="E62" s="75">
        <f t="shared" si="7"/>
        <v>25866.595999999998</v>
      </c>
      <c r="F62" s="75">
        <f t="shared" si="7"/>
        <v>25838.233</v>
      </c>
      <c r="G62" s="75">
        <f t="shared" si="7"/>
        <v>27776.703000000001</v>
      </c>
      <c r="H62" s="75">
        <f t="shared" si="7"/>
        <v>32737.367999999999</v>
      </c>
      <c r="I62" s="75">
        <v>177455</v>
      </c>
      <c r="J62" s="75">
        <v>191095</v>
      </c>
      <c r="K62" s="75">
        <v>207404</v>
      </c>
      <c r="L62" s="75">
        <f>SUM(L57:L61)</f>
        <v>242497</v>
      </c>
      <c r="M62" s="75">
        <v>256603</v>
      </c>
      <c r="N62" s="75">
        <f>SUM(N57:N61)</f>
        <v>252119</v>
      </c>
      <c r="O62" s="150"/>
      <c r="P62" s="234" t="s">
        <v>71</v>
      </c>
    </row>
    <row r="63" spans="1:18" s="6" customFormat="1" ht="18" customHeight="1">
      <c r="A63" s="188" t="s">
        <v>92</v>
      </c>
      <c r="B63" s="188" t="s">
        <v>151</v>
      </c>
      <c r="C63" s="19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 t="s">
        <v>152</v>
      </c>
      <c r="P63" s="189" t="s">
        <v>15</v>
      </c>
    </row>
    <row r="64" spans="1:18" s="6" customFormat="1" ht="12.2" customHeight="1">
      <c r="A64" s="150" t="s">
        <v>62</v>
      </c>
      <c r="B64" s="150"/>
      <c r="C64" s="195"/>
      <c r="D64" s="75">
        <v>27.6</v>
      </c>
      <c r="E64" s="75">
        <f>31.4</f>
        <v>31.4</v>
      </c>
      <c r="F64" s="75">
        <v>40.200000000000003</v>
      </c>
      <c r="G64" s="75">
        <v>38.6</v>
      </c>
      <c r="H64" s="75">
        <v>40.6</v>
      </c>
      <c r="I64" s="75">
        <v>42.4</v>
      </c>
      <c r="J64" s="75">
        <v>42.1</v>
      </c>
      <c r="K64" s="75">
        <v>40.6</v>
      </c>
      <c r="L64" s="75">
        <v>35.9</v>
      </c>
      <c r="M64" s="75">
        <v>49.2</v>
      </c>
      <c r="N64" s="75">
        <v>45.6</v>
      </c>
      <c r="O64" s="150"/>
      <c r="P64" s="234" t="s">
        <v>64</v>
      </c>
      <c r="R64" s="17"/>
    </row>
    <row r="65" spans="1:18" s="6" customFormat="1" ht="12.2" customHeight="1">
      <c r="A65" s="150" t="s">
        <v>169</v>
      </c>
      <c r="B65" s="150"/>
      <c r="C65" s="195"/>
      <c r="D65" s="75">
        <f>75.9+280.3+94.9</f>
        <v>451.1</v>
      </c>
      <c r="E65" s="75">
        <f>99.7+270.8+115.6</f>
        <v>486.1</v>
      </c>
      <c r="F65" s="75">
        <f>109+309+160.5</f>
        <v>578.5</v>
      </c>
      <c r="G65" s="75">
        <f>188.1+366.4+172.4</f>
        <v>726.9</v>
      </c>
      <c r="H65" s="75">
        <f>396.7+623.3+176</f>
        <v>1196</v>
      </c>
      <c r="I65" s="75">
        <v>1520.1</v>
      </c>
      <c r="J65" s="75">
        <f>552.1+766.6+275.3</f>
        <v>1594</v>
      </c>
      <c r="K65" s="75">
        <f>579.1+853.1+340</f>
        <v>1772.2</v>
      </c>
      <c r="L65" s="75">
        <f>734.3+962+434.3</f>
        <v>2130.6</v>
      </c>
      <c r="M65" s="75">
        <f>747.3+1035.7+666.1</f>
        <v>2449.1</v>
      </c>
      <c r="N65" s="75">
        <f>584.5+1226.9+772.7</f>
        <v>2584.1000000000004</v>
      </c>
      <c r="O65" s="150"/>
      <c r="P65" s="234" t="s">
        <v>65</v>
      </c>
      <c r="R65" s="17"/>
    </row>
    <row r="66" spans="1:18" s="6" customFormat="1" ht="12.2" customHeight="1">
      <c r="A66" s="150" t="s">
        <v>170</v>
      </c>
      <c r="B66" s="150"/>
      <c r="C66" s="195"/>
      <c r="D66" s="75">
        <v>213.5</v>
      </c>
      <c r="E66" s="75">
        <v>222.8</v>
      </c>
      <c r="F66" s="75">
        <v>256</v>
      </c>
      <c r="G66" s="75">
        <v>274.5</v>
      </c>
      <c r="H66" s="75">
        <v>376.2</v>
      </c>
      <c r="I66" s="75">
        <v>809.7</v>
      </c>
      <c r="J66" s="75">
        <v>896.1</v>
      </c>
      <c r="K66" s="75">
        <v>1078.0999999999999</v>
      </c>
      <c r="L66" s="75">
        <v>1215.7</v>
      </c>
      <c r="M66" s="75">
        <v>1347.8</v>
      </c>
      <c r="N66" s="75">
        <v>1480.1</v>
      </c>
      <c r="O66" s="150"/>
      <c r="P66" s="234" t="s">
        <v>66</v>
      </c>
      <c r="R66" s="17"/>
    </row>
    <row r="67" spans="1:18" s="6" customFormat="1" ht="12.2" customHeight="1">
      <c r="A67" s="150" t="s">
        <v>63</v>
      </c>
      <c r="B67" s="150"/>
      <c r="C67" s="195"/>
      <c r="D67" s="75">
        <f>327.9+4.6+135.7</f>
        <v>468.2</v>
      </c>
      <c r="E67" s="75">
        <f>386.4+5.3+146.2</f>
        <v>537.9</v>
      </c>
      <c r="F67" s="75">
        <f>394.6+9.8+193.5</f>
        <v>597.90000000000009</v>
      </c>
      <c r="G67" s="75">
        <f>416.4+14+202.4</f>
        <v>632.79999999999995</v>
      </c>
      <c r="H67" s="75">
        <f>505.4+26.9+238.4</f>
        <v>770.69999999999993</v>
      </c>
      <c r="I67" s="75">
        <v>1103.6999999999998</v>
      </c>
      <c r="J67" s="75">
        <f>558.7+8.7+582.1</f>
        <v>1149.5</v>
      </c>
      <c r="K67" s="75">
        <f>637.9+11.5+598.8</f>
        <v>1248.1999999999998</v>
      </c>
      <c r="L67" s="75">
        <f>608.2+16.8+646.6</f>
        <v>1271.5999999999999</v>
      </c>
      <c r="M67" s="75">
        <f>765.6+26.1+674.4</f>
        <v>1466.1</v>
      </c>
      <c r="N67" s="75">
        <f>684.4+64.2+629.8</f>
        <v>1378.4</v>
      </c>
      <c r="O67" s="150"/>
      <c r="P67" s="234" t="s">
        <v>67</v>
      </c>
      <c r="R67" s="50"/>
    </row>
    <row r="68" spans="1:18" s="6" customFormat="1" ht="12.2" customHeight="1">
      <c r="A68" s="150" t="s">
        <v>69</v>
      </c>
      <c r="B68" s="150"/>
      <c r="C68" s="195">
        <v>2356</v>
      </c>
      <c r="D68" s="75">
        <f>3308.3-D64-D65-D66-D67</f>
        <v>2147.9000000000005</v>
      </c>
      <c r="E68" s="75">
        <f>3505.7-E64-E65-E66-E67</f>
        <v>2227.4999999999995</v>
      </c>
      <c r="F68" s="75">
        <f>3896.4-F64-F65-F66-F67</f>
        <v>2423.8000000000002</v>
      </c>
      <c r="G68" s="75">
        <f>4703-G64-G65-G66-G67</f>
        <v>3030.2</v>
      </c>
      <c r="H68" s="75">
        <f>6505.4-H64-H65-H66-H67</f>
        <v>4121.8999999999996</v>
      </c>
      <c r="I68" s="75">
        <v>5780.8</v>
      </c>
      <c r="J68" s="75">
        <f>161.2+407.5+802.9+4009.8+71.8+188.7+510.8</f>
        <v>6152.7</v>
      </c>
      <c r="K68" s="75">
        <f>264.5+456.9+959+4284.7+47.9+197.3+374.9</f>
        <v>6585.2</v>
      </c>
      <c r="L68" s="75">
        <f>L69-SUM(L64:L67)</f>
        <v>7861.1</v>
      </c>
      <c r="M68" s="75">
        <f>M69-(M67+M66+M65+M64)</f>
        <v>9007.4000000000015</v>
      </c>
      <c r="N68" s="75">
        <f>1009.1+672.5+1288.8+6080.9+18.4+165.8+453.7</f>
        <v>9689.1999999999989</v>
      </c>
      <c r="O68" s="150"/>
      <c r="P68" s="234" t="s">
        <v>68</v>
      </c>
      <c r="R68" s="17"/>
    </row>
    <row r="69" spans="1:18" s="6" customFormat="1" ht="12.2" customHeight="1">
      <c r="A69" s="150" t="s">
        <v>70</v>
      </c>
      <c r="B69" s="150"/>
      <c r="C69" s="195">
        <v>2783.7</v>
      </c>
      <c r="D69" s="75">
        <f t="shared" ref="D69:J69" si="8">SUM(D64:D68)</f>
        <v>3308.3000000000006</v>
      </c>
      <c r="E69" s="75">
        <f t="shared" si="8"/>
        <v>3505.6999999999994</v>
      </c>
      <c r="F69" s="75">
        <f t="shared" si="8"/>
        <v>3896.4000000000005</v>
      </c>
      <c r="G69" s="75">
        <f t="shared" si="8"/>
        <v>4703</v>
      </c>
      <c r="H69" s="75">
        <f t="shared" si="8"/>
        <v>6505.4</v>
      </c>
      <c r="I69" s="75">
        <f t="shared" si="8"/>
        <v>9256.7000000000007</v>
      </c>
      <c r="J69" s="75">
        <f t="shared" si="8"/>
        <v>9834.4</v>
      </c>
      <c r="K69" s="75">
        <f>SUM(K64:K68)</f>
        <v>10724.3</v>
      </c>
      <c r="L69" s="75">
        <v>12514.9</v>
      </c>
      <c r="M69" s="75">
        <v>14319.6</v>
      </c>
      <c r="N69" s="75">
        <v>15177.4</v>
      </c>
      <c r="O69" s="150"/>
      <c r="P69" s="234" t="s">
        <v>71</v>
      </c>
    </row>
    <row r="70" spans="1:18" s="6" customFormat="1" ht="18" customHeight="1">
      <c r="A70" s="188" t="s">
        <v>94</v>
      </c>
      <c r="B70" s="188" t="s">
        <v>153</v>
      </c>
      <c r="C70" s="19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 t="s">
        <v>154</v>
      </c>
      <c r="P70" s="189" t="s">
        <v>95</v>
      </c>
    </row>
    <row r="71" spans="1:18" s="6" customFormat="1" ht="12.2" customHeight="1">
      <c r="A71" s="150" t="s">
        <v>62</v>
      </c>
      <c r="B71" s="150"/>
      <c r="C71" s="195"/>
      <c r="D71" s="75">
        <v>16.38</v>
      </c>
      <c r="E71" s="75">
        <v>18.079999999999998</v>
      </c>
      <c r="F71" s="75">
        <v>14.73</v>
      </c>
      <c r="G71" s="75">
        <v>15.44</v>
      </c>
      <c r="H71" s="75">
        <v>18.86</v>
      </c>
      <c r="I71" s="75">
        <v>33.9</v>
      </c>
      <c r="J71" s="75">
        <v>38.6</v>
      </c>
      <c r="K71" s="75">
        <v>45.3</v>
      </c>
      <c r="L71" s="75">
        <v>33.700000000000003</v>
      </c>
      <c r="M71" s="75">
        <v>35.1</v>
      </c>
      <c r="N71" s="75">
        <v>38.299999999999997</v>
      </c>
      <c r="O71" s="150"/>
      <c r="P71" s="234" t="s">
        <v>64</v>
      </c>
      <c r="R71" s="17"/>
    </row>
    <row r="72" spans="1:18" s="6" customFormat="1" ht="12.2" customHeight="1">
      <c r="A72" s="150" t="s">
        <v>169</v>
      </c>
      <c r="B72" s="150"/>
      <c r="C72" s="195"/>
      <c r="D72" s="75">
        <v>92.63</v>
      </c>
      <c r="E72" s="75">
        <v>98.34</v>
      </c>
      <c r="F72" s="75">
        <v>105.69</v>
      </c>
      <c r="G72" s="75">
        <v>117.11</v>
      </c>
      <c r="H72" s="75">
        <v>118.81</v>
      </c>
      <c r="I72" s="75">
        <v>152.69999999999999</v>
      </c>
      <c r="J72" s="75">
        <v>184.8</v>
      </c>
      <c r="K72" s="75">
        <v>257.89999999999998</v>
      </c>
      <c r="L72" s="75">
        <v>303.7</v>
      </c>
      <c r="M72" s="75">
        <v>173.8</v>
      </c>
      <c r="N72" s="75">
        <v>222.2</v>
      </c>
      <c r="O72" s="150"/>
      <c r="P72" s="234" t="s">
        <v>65</v>
      </c>
      <c r="R72" s="17"/>
    </row>
    <row r="73" spans="1:18" s="6" customFormat="1" ht="12.2" customHeight="1">
      <c r="A73" s="150" t="s">
        <v>170</v>
      </c>
      <c r="B73" s="150"/>
      <c r="C73" s="195"/>
      <c r="D73" s="75">
        <v>133.68</v>
      </c>
      <c r="E73" s="75">
        <v>152.47999999999999</v>
      </c>
      <c r="F73" s="75">
        <v>189.11</v>
      </c>
      <c r="G73" s="75">
        <v>208.68</v>
      </c>
      <c r="H73" s="75">
        <v>224.98</v>
      </c>
      <c r="I73" s="75">
        <v>188.2</v>
      </c>
      <c r="J73" s="75">
        <v>221.5</v>
      </c>
      <c r="K73" s="75">
        <v>331.6</v>
      </c>
      <c r="L73" s="75">
        <v>411.5</v>
      </c>
      <c r="M73" s="75">
        <v>589.5</v>
      </c>
      <c r="N73" s="75">
        <v>650.4</v>
      </c>
      <c r="O73" s="150"/>
      <c r="P73" s="234" t="s">
        <v>66</v>
      </c>
      <c r="R73" s="29"/>
    </row>
    <row r="74" spans="1:18" s="6" customFormat="1" ht="12.2" customHeight="1">
      <c r="A74" s="150" t="s">
        <v>63</v>
      </c>
      <c r="B74" s="150"/>
      <c r="C74" s="195"/>
      <c r="D74" s="75">
        <v>264.346</v>
      </c>
      <c r="E74" s="75">
        <v>299.26</v>
      </c>
      <c r="F74" s="75">
        <v>364.94</v>
      </c>
      <c r="G74" s="75">
        <v>364.63</v>
      </c>
      <c r="H74" s="75">
        <v>369.94</v>
      </c>
      <c r="I74" s="75">
        <v>329.1</v>
      </c>
      <c r="J74" s="75">
        <v>341.3</v>
      </c>
      <c r="K74" s="75">
        <v>392.2</v>
      </c>
      <c r="L74" s="75">
        <v>489.6</v>
      </c>
      <c r="M74" s="75">
        <v>503.2</v>
      </c>
      <c r="N74" s="75">
        <v>612.29999999999995</v>
      </c>
      <c r="O74" s="150"/>
      <c r="P74" s="234" t="s">
        <v>67</v>
      </c>
      <c r="R74" s="55"/>
    </row>
    <row r="75" spans="1:18" s="6" customFormat="1" ht="12.2" customHeight="1">
      <c r="A75" s="150" t="s">
        <v>69</v>
      </c>
      <c r="B75" s="150"/>
      <c r="C75" s="195">
        <v>2356</v>
      </c>
      <c r="D75" s="75">
        <v>565.12400000000002</v>
      </c>
      <c r="E75" s="75">
        <v>859.51</v>
      </c>
      <c r="F75" s="75">
        <v>1117.3800000000001</v>
      </c>
      <c r="G75" s="75">
        <v>1197.51</v>
      </c>
      <c r="H75" s="75">
        <v>1025.92</v>
      </c>
      <c r="I75" s="75">
        <f>(34.5+23.8+17.1+319.9+67.9+252+50.9+39.7+70+35.9)</f>
        <v>911.69999999999993</v>
      </c>
      <c r="J75" s="75">
        <f>44.7+39.3+24.8+400.8+73.2+327.7+56.2+57+76.6+110.9</f>
        <v>1211.2</v>
      </c>
      <c r="K75" s="75">
        <f>76.7+47.9+19+457.5+76.2+381.3+52.4+85.7+144.3+138.1</f>
        <v>1479.1000000000001</v>
      </c>
      <c r="L75" s="75">
        <v>1506.4</v>
      </c>
      <c r="M75" s="75">
        <f>M76-(M74+M73+M72+M71)</f>
        <v>1490.1</v>
      </c>
      <c r="N75" s="75">
        <f>N76-(N74+N73+N72+N71)</f>
        <v>1583.1000000000004</v>
      </c>
      <c r="O75" s="150"/>
      <c r="P75" s="234" t="s">
        <v>68</v>
      </c>
      <c r="R75" s="29"/>
    </row>
    <row r="76" spans="1:18" s="6" customFormat="1" ht="12.2" customHeight="1">
      <c r="A76" s="150" t="s">
        <v>70</v>
      </c>
      <c r="B76" s="150"/>
      <c r="C76" s="195">
        <v>2783.7</v>
      </c>
      <c r="D76" s="75">
        <f t="shared" ref="D76:L76" si="9">SUM(D71:D75)</f>
        <v>1072.1600000000001</v>
      </c>
      <c r="E76" s="75">
        <f t="shared" si="9"/>
        <v>1427.67</v>
      </c>
      <c r="F76" s="75">
        <f t="shared" si="9"/>
        <v>1791.8500000000001</v>
      </c>
      <c r="G76" s="75">
        <f t="shared" si="9"/>
        <v>1903.37</v>
      </c>
      <c r="H76" s="75">
        <f t="shared" si="9"/>
        <v>1758.51</v>
      </c>
      <c r="I76" s="75">
        <f t="shared" si="9"/>
        <v>1615.6</v>
      </c>
      <c r="J76" s="75">
        <f t="shared" si="9"/>
        <v>1997.4</v>
      </c>
      <c r="K76" s="75">
        <f t="shared" si="9"/>
        <v>2506.1000000000004</v>
      </c>
      <c r="L76" s="75">
        <f t="shared" si="9"/>
        <v>2744.9</v>
      </c>
      <c r="M76" s="75">
        <v>2791.7</v>
      </c>
      <c r="N76" s="75">
        <v>3106.3</v>
      </c>
      <c r="O76" s="150"/>
      <c r="P76" s="234" t="s">
        <v>71</v>
      </c>
      <c r="R76" s="30"/>
    </row>
    <row r="77" spans="1:18" s="6" customFormat="1" ht="18" customHeight="1">
      <c r="A77" s="188" t="s">
        <v>306</v>
      </c>
      <c r="B77" s="188" t="s">
        <v>151</v>
      </c>
      <c r="C77" s="19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 t="s">
        <v>152</v>
      </c>
      <c r="P77" s="189" t="s">
        <v>307</v>
      </c>
      <c r="R77" s="30"/>
    </row>
    <row r="78" spans="1:18" s="6" customFormat="1" ht="12.2" customHeight="1">
      <c r="A78" s="150" t="s">
        <v>62</v>
      </c>
      <c r="B78" s="150"/>
      <c r="C78" s="195"/>
      <c r="D78" s="183"/>
      <c r="E78" s="183"/>
      <c r="F78" s="183"/>
      <c r="G78" s="183" t="s">
        <v>61</v>
      </c>
      <c r="H78" s="183" t="s">
        <v>61</v>
      </c>
      <c r="I78" s="183" t="s">
        <v>61</v>
      </c>
      <c r="J78" s="183" t="s">
        <v>61</v>
      </c>
      <c r="K78" s="183" t="s">
        <v>61</v>
      </c>
      <c r="L78" s="183" t="s">
        <v>61</v>
      </c>
      <c r="M78" s="183" t="s">
        <v>61</v>
      </c>
      <c r="N78" s="183" t="s">
        <v>61</v>
      </c>
      <c r="O78" s="150"/>
      <c r="P78" s="234" t="s">
        <v>64</v>
      </c>
      <c r="R78" s="29"/>
    </row>
    <row r="79" spans="1:18" s="6" customFormat="1" ht="12.2" customHeight="1">
      <c r="A79" s="150" t="s">
        <v>169</v>
      </c>
      <c r="B79" s="150"/>
      <c r="C79" s="195"/>
      <c r="D79" s="75">
        <v>750.4</v>
      </c>
      <c r="E79" s="75">
        <v>1059.9000000000001</v>
      </c>
      <c r="F79" s="75">
        <v>2418.8000000000002</v>
      </c>
      <c r="G79" s="75">
        <v>2078</v>
      </c>
      <c r="H79" s="75">
        <v>3460.2</v>
      </c>
      <c r="I79" s="75">
        <v>5500.8</v>
      </c>
      <c r="J79" s="75">
        <v>5525.7</v>
      </c>
      <c r="K79" s="75">
        <v>6648.2</v>
      </c>
      <c r="L79" s="75">
        <v>6534</v>
      </c>
      <c r="M79" s="75">
        <v>8664.7000000000007</v>
      </c>
      <c r="N79" s="75">
        <v>9769</v>
      </c>
      <c r="O79" s="150"/>
      <c r="P79" s="234" t="s">
        <v>65</v>
      </c>
      <c r="R79" s="29"/>
    </row>
    <row r="80" spans="1:18" s="6" customFormat="1" ht="12.2" customHeight="1">
      <c r="A80" s="150" t="s">
        <v>170</v>
      </c>
      <c r="B80" s="150"/>
      <c r="C80" s="195"/>
      <c r="D80" s="75">
        <v>1433.7</v>
      </c>
      <c r="E80" s="75">
        <v>1658.1</v>
      </c>
      <c r="F80" s="75">
        <v>3357.7</v>
      </c>
      <c r="G80" s="75">
        <v>5120.7</v>
      </c>
      <c r="H80" s="75">
        <v>8154.7</v>
      </c>
      <c r="I80" s="75">
        <v>11454.2</v>
      </c>
      <c r="J80" s="75">
        <v>12987.9</v>
      </c>
      <c r="K80" s="75">
        <v>18410.599999999999</v>
      </c>
      <c r="L80" s="75">
        <v>16219.9</v>
      </c>
      <c r="M80" s="75">
        <v>16546.400000000001</v>
      </c>
      <c r="N80" s="75">
        <v>23331</v>
      </c>
      <c r="O80" s="150"/>
      <c r="P80" s="234" t="s">
        <v>66</v>
      </c>
      <c r="R80" s="29"/>
    </row>
    <row r="81" spans="1:36" s="6" customFormat="1" ht="12.2" customHeight="1">
      <c r="A81" s="150" t="s">
        <v>63</v>
      </c>
      <c r="B81" s="150"/>
      <c r="C81" s="195"/>
      <c r="D81" s="75">
        <v>5531.5</v>
      </c>
      <c r="E81" s="75">
        <v>6116.4</v>
      </c>
      <c r="F81" s="75">
        <v>8183.6</v>
      </c>
      <c r="G81" s="75">
        <v>11553.2</v>
      </c>
      <c r="H81" s="75">
        <v>17977.8</v>
      </c>
      <c r="I81" s="75">
        <v>21884.3</v>
      </c>
      <c r="J81" s="75">
        <v>24685.8</v>
      </c>
      <c r="K81" s="75">
        <v>24875.200000000001</v>
      </c>
      <c r="L81" s="75">
        <v>26855.3</v>
      </c>
      <c r="M81" s="75">
        <v>33238.199999999997</v>
      </c>
      <c r="N81" s="75">
        <v>35951.5</v>
      </c>
      <c r="O81" s="150"/>
      <c r="P81" s="234" t="s">
        <v>67</v>
      </c>
      <c r="R81" s="29"/>
    </row>
    <row r="82" spans="1:36" s="6" customFormat="1" ht="12.2" customHeight="1">
      <c r="A82" s="150" t="s">
        <v>69</v>
      </c>
      <c r="B82" s="150"/>
      <c r="C82" s="195">
        <v>2356</v>
      </c>
      <c r="D82" s="75">
        <v>36071.9</v>
      </c>
      <c r="E82" s="75">
        <v>40648.5</v>
      </c>
      <c r="F82" s="75">
        <v>55773.7</v>
      </c>
      <c r="G82" s="75">
        <v>83795.899999999994</v>
      </c>
      <c r="H82" s="75">
        <v>131003.40000000001</v>
      </c>
      <c r="I82" s="75">
        <v>203813.6</v>
      </c>
      <c r="J82" s="75">
        <v>227278.1</v>
      </c>
      <c r="K82" s="75">
        <v>264546.5</v>
      </c>
      <c r="L82" s="75">
        <v>353953.3</v>
      </c>
      <c r="M82" s="75">
        <f>M83-(M81+M80+M79)</f>
        <v>450179</v>
      </c>
      <c r="N82" s="75">
        <f>N83-(N81+N80+N79)</f>
        <v>506342.5</v>
      </c>
      <c r="O82" s="150"/>
      <c r="P82" s="234" t="s">
        <v>68</v>
      </c>
      <c r="R82" s="93"/>
    </row>
    <row r="83" spans="1:36" s="6" customFormat="1" ht="12.2" customHeight="1">
      <c r="A83" s="150" t="s">
        <v>70</v>
      </c>
      <c r="B83" s="150"/>
      <c r="C83" s="195">
        <v>2783.7</v>
      </c>
      <c r="D83" s="75">
        <f t="shared" ref="D83:L83" si="10">SUM(D79:D82)</f>
        <v>43787.5</v>
      </c>
      <c r="E83" s="75">
        <f t="shared" si="10"/>
        <v>49482.9</v>
      </c>
      <c r="F83" s="75">
        <f t="shared" si="10"/>
        <v>69733.8</v>
      </c>
      <c r="G83" s="75">
        <f t="shared" si="10"/>
        <v>102547.79999999999</v>
      </c>
      <c r="H83" s="75">
        <f t="shared" si="10"/>
        <v>160596.1</v>
      </c>
      <c r="I83" s="75">
        <f t="shared" si="10"/>
        <v>242652.90000000002</v>
      </c>
      <c r="J83" s="75">
        <f t="shared" si="10"/>
        <v>270477.5</v>
      </c>
      <c r="K83" s="75">
        <f t="shared" si="10"/>
        <v>314480.5</v>
      </c>
      <c r="L83" s="75">
        <f t="shared" si="10"/>
        <v>403562.5</v>
      </c>
      <c r="M83" s="75">
        <v>508628.3</v>
      </c>
      <c r="N83" s="75">
        <v>575394</v>
      </c>
      <c r="O83" s="150"/>
      <c r="P83" s="234" t="s">
        <v>71</v>
      </c>
      <c r="R83" s="30"/>
    </row>
    <row r="84" spans="1:36" s="6" customFormat="1" ht="18" customHeight="1">
      <c r="A84" s="188" t="s">
        <v>117</v>
      </c>
      <c r="B84" s="188" t="s">
        <v>151</v>
      </c>
      <c r="C84" s="19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 t="s">
        <v>152</v>
      </c>
      <c r="P84" s="189" t="s">
        <v>128</v>
      </c>
      <c r="R84" s="30"/>
    </row>
    <row r="85" spans="1:36" s="6" customFormat="1" ht="12.2" customHeight="1">
      <c r="A85" s="150" t="s">
        <v>62</v>
      </c>
      <c r="B85" s="150"/>
      <c r="C85" s="195"/>
      <c r="D85" s="75">
        <v>2549</v>
      </c>
      <c r="E85" s="75">
        <v>3785</v>
      </c>
      <c r="F85" s="75">
        <v>6716</v>
      </c>
      <c r="G85" s="75">
        <v>6802</v>
      </c>
      <c r="H85" s="75">
        <v>8636</v>
      </c>
      <c r="I85" s="75">
        <v>10980</v>
      </c>
      <c r="J85" s="75">
        <v>8731</v>
      </c>
      <c r="K85" s="75">
        <v>10269</v>
      </c>
      <c r="L85" s="75">
        <v>8864</v>
      </c>
      <c r="M85" s="75">
        <v>9210</v>
      </c>
      <c r="N85" s="75">
        <v>12001</v>
      </c>
      <c r="O85" s="150"/>
      <c r="P85" s="234" t="s">
        <v>64</v>
      </c>
      <c r="R85" s="29"/>
    </row>
    <row r="86" spans="1:36" s="6" customFormat="1" ht="12.2" customHeight="1">
      <c r="A86" s="150" t="s">
        <v>169</v>
      </c>
      <c r="B86" s="150"/>
      <c r="C86" s="195"/>
      <c r="D86" s="75">
        <v>29091</v>
      </c>
      <c r="E86" s="75">
        <v>31044</v>
      </c>
      <c r="F86" s="75">
        <v>39961</v>
      </c>
      <c r="G86" s="75">
        <v>42966</v>
      </c>
      <c r="H86" s="75">
        <v>64114</v>
      </c>
      <c r="I86" s="75">
        <v>94227</v>
      </c>
      <c r="J86" s="75">
        <v>93746</v>
      </c>
      <c r="K86" s="75">
        <f>90082+5818+19243</f>
        <v>115143</v>
      </c>
      <c r="L86" s="75">
        <f>111662+7657+25779</f>
        <v>145098</v>
      </c>
      <c r="M86" s="75">
        <f>126203+12171+34385</f>
        <v>172759</v>
      </c>
      <c r="N86" s="75">
        <f>139764+16348+34315</f>
        <v>190427</v>
      </c>
      <c r="O86" s="150"/>
      <c r="P86" s="234" t="s">
        <v>65</v>
      </c>
      <c r="R86" s="29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</row>
    <row r="87" spans="1:36" s="6" customFormat="1" ht="12.2" customHeight="1">
      <c r="A87" s="150" t="s">
        <v>170</v>
      </c>
      <c r="B87" s="150"/>
      <c r="C87" s="195"/>
      <c r="D87" s="75">
        <v>21955</v>
      </c>
      <c r="E87" s="75">
        <v>23057</v>
      </c>
      <c r="F87" s="75">
        <v>31726</v>
      </c>
      <c r="G87" s="75">
        <v>37845</v>
      </c>
      <c r="H87" s="75">
        <v>43421</v>
      </c>
      <c r="I87" s="75">
        <v>54371</v>
      </c>
      <c r="J87" s="75">
        <v>44741</v>
      </c>
      <c r="K87" s="75">
        <v>55644</v>
      </c>
      <c r="L87" s="75">
        <v>69796</v>
      </c>
      <c r="M87" s="75">
        <v>75381</v>
      </c>
      <c r="N87" s="75">
        <v>76555</v>
      </c>
      <c r="O87" s="150"/>
      <c r="P87" s="234" t="s">
        <v>66</v>
      </c>
      <c r="R87" s="29"/>
      <c r="Y87" s="58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</row>
    <row r="88" spans="1:36" s="6" customFormat="1" ht="12.2" customHeight="1">
      <c r="A88" s="150" t="s">
        <v>63</v>
      </c>
      <c r="B88" s="150"/>
      <c r="C88" s="195"/>
      <c r="D88" s="75">
        <v>51886</v>
      </c>
      <c r="E88" s="75">
        <v>62808</v>
      </c>
      <c r="F88" s="75">
        <v>83054</v>
      </c>
      <c r="G88" s="75">
        <v>111511</v>
      </c>
      <c r="H88" s="75">
        <v>127473</v>
      </c>
      <c r="I88" s="75">
        <v>176858</v>
      </c>
      <c r="J88" s="75">
        <v>169220</v>
      </c>
      <c r="K88" s="75">
        <v>181132</v>
      </c>
      <c r="L88" s="75">
        <v>182078</v>
      </c>
      <c r="M88" s="75">
        <v>206023</v>
      </c>
      <c r="N88" s="75">
        <v>234768</v>
      </c>
      <c r="O88" s="150"/>
      <c r="P88" s="234" t="s">
        <v>67</v>
      </c>
      <c r="Q88" s="89"/>
      <c r="R88" s="29"/>
      <c r="Y88" s="58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</row>
    <row r="89" spans="1:36" s="6" customFormat="1" ht="12.2" customHeight="1">
      <c r="A89" s="150" t="s">
        <v>69</v>
      </c>
      <c r="B89" s="150"/>
      <c r="C89" s="195">
        <v>2356</v>
      </c>
      <c r="D89" s="75"/>
      <c r="E89" s="75">
        <v>211442</v>
      </c>
      <c r="F89" s="75">
        <v>291044</v>
      </c>
      <c r="G89" s="75">
        <v>297943</v>
      </c>
      <c r="H89" s="75">
        <v>351196</v>
      </c>
      <c r="I89" s="75">
        <v>408366</v>
      </c>
      <c r="J89" s="75">
        <v>420467</v>
      </c>
      <c r="K89" s="75">
        <v>413154</v>
      </c>
      <c r="L89" s="75">
        <v>450790</v>
      </c>
      <c r="M89" s="75">
        <f>M90-(M88+M87+M86+M85)</f>
        <v>536684</v>
      </c>
      <c r="N89" s="75">
        <f>N90-(N88+N87+N86+N85)</f>
        <v>606769</v>
      </c>
      <c r="O89" s="150"/>
      <c r="P89" s="234" t="s">
        <v>68</v>
      </c>
      <c r="R89" s="29"/>
      <c r="Y89" s="58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</row>
    <row r="90" spans="1:36" s="6" customFormat="1" ht="12.2" customHeight="1">
      <c r="A90" s="150" t="s">
        <v>70</v>
      </c>
      <c r="B90" s="150"/>
      <c r="C90" s="195">
        <v>2783.7</v>
      </c>
      <c r="D90" s="75">
        <f t="shared" ref="D90:L90" si="11">SUM(D85:D89)</f>
        <v>105481</v>
      </c>
      <c r="E90" s="75">
        <f t="shared" si="11"/>
        <v>332136</v>
      </c>
      <c r="F90" s="75">
        <f t="shared" si="11"/>
        <v>452501</v>
      </c>
      <c r="G90" s="75">
        <f t="shared" si="11"/>
        <v>497067</v>
      </c>
      <c r="H90" s="75">
        <f t="shared" si="11"/>
        <v>594840</v>
      </c>
      <c r="I90" s="75">
        <f t="shared" si="11"/>
        <v>744802</v>
      </c>
      <c r="J90" s="75">
        <f t="shared" si="11"/>
        <v>736905</v>
      </c>
      <c r="K90" s="75">
        <f t="shared" si="11"/>
        <v>775342</v>
      </c>
      <c r="L90" s="75">
        <f t="shared" si="11"/>
        <v>856626</v>
      </c>
      <c r="M90" s="75">
        <v>1000057</v>
      </c>
      <c r="N90" s="75">
        <v>1120520</v>
      </c>
      <c r="O90" s="150"/>
      <c r="P90" s="234" t="s">
        <v>71</v>
      </c>
      <c r="R90" s="30"/>
      <c r="Y90" s="58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</row>
    <row r="91" spans="1:36" s="6" customFormat="1" ht="18" customHeight="1">
      <c r="A91" s="188" t="s">
        <v>140</v>
      </c>
      <c r="B91" s="188" t="s">
        <v>146</v>
      </c>
      <c r="C91" s="190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73" t="s">
        <v>147</v>
      </c>
      <c r="P91" s="189" t="s">
        <v>14</v>
      </c>
      <c r="R91" s="30"/>
      <c r="Y91" s="58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</row>
    <row r="92" spans="1:36" s="6" customFormat="1" ht="12" customHeight="1">
      <c r="A92" s="150" t="s">
        <v>62</v>
      </c>
      <c r="B92" s="188"/>
      <c r="C92" s="190"/>
      <c r="D92" s="183"/>
      <c r="E92" s="183"/>
      <c r="F92" s="183"/>
      <c r="G92" s="183"/>
      <c r="H92" s="75">
        <v>1052</v>
      </c>
      <c r="I92" s="75">
        <v>1341.5</v>
      </c>
      <c r="J92" s="75">
        <v>1941.6</v>
      </c>
      <c r="K92" s="75">
        <v>2614.9</v>
      </c>
      <c r="L92" s="75">
        <v>2664</v>
      </c>
      <c r="M92" s="75">
        <f>3673.4</f>
        <v>3673.4</v>
      </c>
      <c r="N92" s="75">
        <v>5229.3999999999996</v>
      </c>
      <c r="O92" s="173"/>
      <c r="P92" s="234" t="s">
        <v>64</v>
      </c>
      <c r="R92" s="30"/>
      <c r="Y92" s="58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</row>
    <row r="93" spans="1:36" s="6" customFormat="1" ht="12" customHeight="1">
      <c r="A93" s="150" t="s">
        <v>169</v>
      </c>
      <c r="B93" s="188"/>
      <c r="C93" s="190"/>
      <c r="D93" s="183"/>
      <c r="E93" s="183"/>
      <c r="F93" s="183"/>
      <c r="G93" s="183"/>
      <c r="H93" s="75">
        <v>1110.8</v>
      </c>
      <c r="I93" s="75">
        <v>1177.3</v>
      </c>
      <c r="J93" s="75">
        <f>1207.2+51.4</f>
        <v>1258.6000000000001</v>
      </c>
      <c r="K93" s="75">
        <f>1583.1+40.3</f>
        <v>1623.3999999999999</v>
      </c>
      <c r="L93" s="75">
        <f>2067+31.1</f>
        <v>2098.1</v>
      </c>
      <c r="M93" s="75">
        <f>3124+85.1</f>
        <v>3209.1</v>
      </c>
      <c r="N93" s="75">
        <f>5195.5+188.6</f>
        <v>5384.1</v>
      </c>
      <c r="O93" s="173"/>
      <c r="P93" s="234" t="s">
        <v>65</v>
      </c>
      <c r="R93" s="30"/>
      <c r="Y93" s="58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</row>
    <row r="94" spans="1:36" s="6" customFormat="1" ht="12" customHeight="1">
      <c r="A94" s="150" t="s">
        <v>170</v>
      </c>
      <c r="B94" s="188"/>
      <c r="C94" s="190"/>
      <c r="D94" s="183"/>
      <c r="E94" s="183"/>
      <c r="F94" s="183"/>
      <c r="G94" s="183"/>
      <c r="H94" s="75">
        <f>H97-(H92+H93+H95+H96)</f>
        <v>1505</v>
      </c>
      <c r="I94" s="75">
        <f>I97-(I92+I93+I95+I96)</f>
        <v>-122.30000000000109</v>
      </c>
      <c r="J94" s="75">
        <v>1235.5999999999999</v>
      </c>
      <c r="K94" s="75">
        <v>1588.1</v>
      </c>
      <c r="L94" s="75">
        <v>2000.5</v>
      </c>
      <c r="M94" s="75">
        <v>2721.5</v>
      </c>
      <c r="N94" s="75">
        <v>3565.3</v>
      </c>
      <c r="O94" s="173"/>
      <c r="P94" s="234" t="s">
        <v>66</v>
      </c>
      <c r="R94" s="30"/>
      <c r="Y94" s="58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</row>
    <row r="95" spans="1:36" s="6" customFormat="1" ht="12" customHeight="1">
      <c r="A95" s="150" t="s">
        <v>63</v>
      </c>
      <c r="B95" s="150"/>
      <c r="C95" s="195"/>
      <c r="D95" s="183"/>
      <c r="E95" s="183"/>
      <c r="F95" s="183"/>
      <c r="G95" s="183"/>
      <c r="H95" s="75">
        <f>2233.7+272.3+167.2</f>
        <v>2673.2</v>
      </c>
      <c r="I95" s="75">
        <f>272.3+1672.3+2340</f>
        <v>4284.6000000000004</v>
      </c>
      <c r="J95" s="75">
        <f>365.9+1649.2</f>
        <v>2015.1</v>
      </c>
      <c r="K95" s="75">
        <f>1100.1+464.3</f>
        <v>1564.3999999999999</v>
      </c>
      <c r="L95" s="75">
        <f>1347+3128.6+666</f>
        <v>5141.6000000000004</v>
      </c>
      <c r="M95" s="75">
        <f>3285.5+850.8+792.7</f>
        <v>4929</v>
      </c>
      <c r="N95" s="75">
        <f>3180.6+1186.5+987.8</f>
        <v>5354.9000000000005</v>
      </c>
      <c r="O95" s="150"/>
      <c r="P95" s="234" t="s">
        <v>67</v>
      </c>
      <c r="R95" s="30"/>
      <c r="Y95" s="58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</row>
    <row r="96" spans="1:36" s="6" customFormat="1" ht="12.6" customHeight="1">
      <c r="A96" s="150" t="s">
        <v>69</v>
      </c>
      <c r="B96" s="150"/>
      <c r="C96" s="195"/>
      <c r="D96" s="183"/>
      <c r="E96" s="183"/>
      <c r="F96" s="183"/>
      <c r="G96" s="183"/>
      <c r="H96" s="75">
        <v>4909</v>
      </c>
      <c r="I96" s="75">
        <v>5900.7</v>
      </c>
      <c r="J96" s="75">
        <f>J97-(J92+J93+J94+J95)</f>
        <v>8533.8000000000011</v>
      </c>
      <c r="K96" s="75">
        <f>K97-(K92+K93+K94+K95)</f>
        <v>10200.600000000002</v>
      </c>
      <c r="L96" s="75">
        <f>L97-(L95+L94+L93+L92)</f>
        <v>8297.7999999999993</v>
      </c>
      <c r="M96" s="75">
        <f>M97-(M95+M94+M93+M92)</f>
        <v>10282</v>
      </c>
      <c r="N96" s="75">
        <f>N97-(N95+N94+N93+N92)</f>
        <v>13098.099999999999</v>
      </c>
      <c r="O96" s="150"/>
      <c r="P96" s="234" t="s">
        <v>68</v>
      </c>
      <c r="R96" s="30"/>
      <c r="Y96" s="58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</row>
    <row r="97" spans="1:36" ht="13.5">
      <c r="A97" s="150" t="s">
        <v>70</v>
      </c>
      <c r="B97" s="150"/>
      <c r="C97" s="195"/>
      <c r="D97" s="183"/>
      <c r="E97" s="183"/>
      <c r="F97" s="183"/>
      <c r="G97" s="183"/>
      <c r="H97" s="75">
        <v>11250</v>
      </c>
      <c r="I97" s="75">
        <v>12581.8</v>
      </c>
      <c r="J97" s="75">
        <v>14984.7</v>
      </c>
      <c r="K97" s="75">
        <v>17591.400000000001</v>
      </c>
      <c r="L97" s="75">
        <v>20202</v>
      </c>
      <c r="M97" s="75">
        <v>24815</v>
      </c>
      <c r="N97" s="75">
        <v>32631.8</v>
      </c>
      <c r="O97" s="150"/>
      <c r="P97" s="234" t="s">
        <v>71</v>
      </c>
      <c r="R97" s="30"/>
      <c r="Y97" s="59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s="6" customFormat="1" ht="18" customHeight="1" thickBot="1">
      <c r="A98" s="188" t="s">
        <v>13</v>
      </c>
      <c r="B98" s="188" t="s">
        <v>146</v>
      </c>
      <c r="C98" s="19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 t="s">
        <v>155</v>
      </c>
      <c r="P98" s="189" t="s">
        <v>311</v>
      </c>
      <c r="R98" s="30"/>
      <c r="Y98" s="58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</row>
    <row r="99" spans="1:36" s="6" customFormat="1" ht="12.2" customHeight="1" thickTop="1" thickBot="1">
      <c r="A99" s="150" t="s">
        <v>62</v>
      </c>
      <c r="B99" s="150"/>
      <c r="C99" s="195"/>
      <c r="D99" s="75">
        <v>82447</v>
      </c>
      <c r="E99" s="75">
        <v>85396</v>
      </c>
      <c r="F99" s="75">
        <v>80424</v>
      </c>
      <c r="G99" s="75">
        <v>82039</v>
      </c>
      <c r="H99" s="75">
        <v>98326</v>
      </c>
      <c r="I99" s="75">
        <v>96286</v>
      </c>
      <c r="J99" s="75">
        <v>140026</v>
      </c>
      <c r="K99" s="75">
        <v>147859.93003181883</v>
      </c>
      <c r="L99" s="75">
        <v>211648.58</v>
      </c>
      <c r="M99" s="75" t="s">
        <v>61</v>
      </c>
      <c r="N99" s="75" t="s">
        <v>61</v>
      </c>
      <c r="O99" s="150"/>
      <c r="P99" s="234" t="s">
        <v>64</v>
      </c>
      <c r="R99" s="29"/>
      <c r="S99" s="125"/>
      <c r="T99" s="120"/>
      <c r="U99" s="120"/>
      <c r="V99" s="120"/>
      <c r="W99" s="121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</row>
    <row r="100" spans="1:36" s="6" customFormat="1" ht="12.2" customHeight="1" thickTop="1">
      <c r="A100" s="150" t="s">
        <v>169</v>
      </c>
      <c r="B100" s="150"/>
      <c r="C100" s="195"/>
      <c r="D100" s="75">
        <v>19840</v>
      </c>
      <c r="E100" s="75">
        <v>26052</v>
      </c>
      <c r="F100" s="75">
        <v>29937</v>
      </c>
      <c r="G100" s="75">
        <v>39777</v>
      </c>
      <c r="H100" s="75">
        <v>33667</v>
      </c>
      <c r="I100" s="75">
        <v>45090</v>
      </c>
      <c r="J100" s="75">
        <v>78100</v>
      </c>
      <c r="K100" s="75">
        <v>101980.27979609152</v>
      </c>
      <c r="L100" s="75">
        <v>125464.96000000001</v>
      </c>
      <c r="M100" s="75" t="s">
        <v>61</v>
      </c>
      <c r="N100" s="75" t="s">
        <v>61</v>
      </c>
      <c r="O100" s="150"/>
      <c r="P100" s="234" t="s">
        <v>65</v>
      </c>
      <c r="R100" s="29"/>
      <c r="S100" s="68"/>
      <c r="T100" s="126"/>
      <c r="U100" s="120"/>
      <c r="V100" s="120"/>
      <c r="W100" s="120"/>
      <c r="X100" s="120"/>
      <c r="Y100" s="121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</row>
    <row r="101" spans="1:36" s="6" customFormat="1" ht="12.2" customHeight="1" thickBot="1">
      <c r="A101" s="150" t="s">
        <v>170</v>
      </c>
      <c r="B101" s="150"/>
      <c r="C101" s="195"/>
      <c r="D101" s="75">
        <v>35136</v>
      </c>
      <c r="E101" s="75">
        <v>47384</v>
      </c>
      <c r="F101" s="75">
        <v>64237</v>
      </c>
      <c r="G101" s="75">
        <v>70974</v>
      </c>
      <c r="H101" s="75">
        <v>91287</v>
      </c>
      <c r="I101" s="75">
        <v>113260</v>
      </c>
      <c r="J101" s="75">
        <v>142724</v>
      </c>
      <c r="K101" s="75">
        <v>177039.84797444343</v>
      </c>
      <c r="L101" s="75">
        <v>164789.18</v>
      </c>
      <c r="M101" s="75" t="s">
        <v>61</v>
      </c>
      <c r="N101" s="75" t="s">
        <v>61</v>
      </c>
      <c r="O101" s="150"/>
      <c r="P101" s="234" t="s">
        <v>66</v>
      </c>
      <c r="R101" s="29"/>
      <c r="T101" s="124"/>
      <c r="U101" s="122"/>
      <c r="V101" s="122"/>
      <c r="W101" s="122"/>
      <c r="X101" s="122"/>
      <c r="Y101" s="123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6" customFormat="1" ht="12.2" customHeight="1" thickTop="1">
      <c r="A102" s="150" t="s">
        <v>63</v>
      </c>
      <c r="B102" s="150"/>
      <c r="C102" s="195"/>
      <c r="D102" s="75">
        <v>124879</v>
      </c>
      <c r="E102" s="75">
        <v>142460</v>
      </c>
      <c r="F102" s="75">
        <v>177247</v>
      </c>
      <c r="G102" s="75">
        <v>213844</v>
      </c>
      <c r="H102" s="75">
        <v>310621</v>
      </c>
      <c r="I102" s="75">
        <v>490901</v>
      </c>
      <c r="J102" s="75">
        <v>515129</v>
      </c>
      <c r="K102" s="75">
        <v>577385.61965848901</v>
      </c>
      <c r="L102" s="75">
        <v>452396.7</v>
      </c>
      <c r="M102" s="75" t="s">
        <v>61</v>
      </c>
      <c r="N102" s="75" t="s">
        <v>61</v>
      </c>
      <c r="O102" s="150"/>
      <c r="P102" s="234" t="s">
        <v>67</v>
      </c>
      <c r="R102" s="60"/>
    </row>
    <row r="103" spans="1:36" s="6" customFormat="1" ht="12.2" customHeight="1">
      <c r="A103" s="150" t="s">
        <v>69</v>
      </c>
      <c r="B103" s="150"/>
      <c r="C103" s="195">
        <v>2356</v>
      </c>
      <c r="D103" s="75">
        <v>24668</v>
      </c>
      <c r="E103" s="75">
        <v>28808</v>
      </c>
      <c r="F103" s="75">
        <v>69878</v>
      </c>
      <c r="G103" s="75">
        <v>84887</v>
      </c>
      <c r="H103" s="75">
        <v>99485</v>
      </c>
      <c r="I103" s="75">
        <v>124759</v>
      </c>
      <c r="J103" s="75">
        <v>152237</v>
      </c>
      <c r="K103" s="75">
        <v>207725.35565386174</v>
      </c>
      <c r="L103" s="75">
        <v>205367.29066650386</v>
      </c>
      <c r="M103" s="75" t="s">
        <v>61</v>
      </c>
      <c r="N103" s="75" t="s">
        <v>61</v>
      </c>
      <c r="O103" s="150"/>
      <c r="P103" s="234" t="s">
        <v>68</v>
      </c>
      <c r="R103" s="29"/>
    </row>
    <row r="104" spans="1:36" s="6" customFormat="1" ht="12.2" customHeight="1">
      <c r="A104" s="150" t="s">
        <v>70</v>
      </c>
      <c r="B104" s="150"/>
      <c r="C104" s="195">
        <v>2783.7</v>
      </c>
      <c r="D104" s="75">
        <f t="shared" ref="D104:J104" si="12">SUM(D99:D103)</f>
        <v>286970</v>
      </c>
      <c r="E104" s="75">
        <f t="shared" si="12"/>
        <v>330100</v>
      </c>
      <c r="F104" s="75">
        <f t="shared" si="12"/>
        <v>421723</v>
      </c>
      <c r="G104" s="75">
        <f t="shared" si="12"/>
        <v>491521</v>
      </c>
      <c r="H104" s="75">
        <f t="shared" si="12"/>
        <v>633386</v>
      </c>
      <c r="I104" s="75">
        <f t="shared" si="12"/>
        <v>870296</v>
      </c>
      <c r="J104" s="75">
        <f t="shared" si="12"/>
        <v>1028216</v>
      </c>
      <c r="K104" s="75">
        <f>SUM(K99:K103)</f>
        <v>1211991.0331147045</v>
      </c>
      <c r="L104" s="75">
        <v>1159666.7520001368</v>
      </c>
      <c r="M104" s="75" t="s">
        <v>61</v>
      </c>
      <c r="N104" s="75" t="s">
        <v>61</v>
      </c>
      <c r="O104" s="150"/>
      <c r="P104" s="234" t="s">
        <v>71</v>
      </c>
      <c r="R104" s="30"/>
    </row>
    <row r="105" spans="1:36" s="6" customFormat="1" ht="18" customHeight="1">
      <c r="A105" s="188" t="s">
        <v>212</v>
      </c>
      <c r="B105" s="188" t="s">
        <v>144</v>
      </c>
      <c r="C105" s="19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81" t="s">
        <v>145</v>
      </c>
      <c r="P105" s="189" t="s">
        <v>213</v>
      </c>
      <c r="R105" s="30"/>
      <c r="Y105" s="58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</row>
    <row r="106" spans="1:36" s="6" customFormat="1" ht="12.2" customHeight="1">
      <c r="A106" s="150" t="s">
        <v>62</v>
      </c>
      <c r="B106" s="150"/>
      <c r="C106" s="195"/>
      <c r="D106" s="75">
        <v>82447</v>
      </c>
      <c r="E106" s="75">
        <v>85396</v>
      </c>
      <c r="F106" s="75">
        <v>80424</v>
      </c>
      <c r="G106" s="75">
        <v>82039</v>
      </c>
      <c r="H106" s="75">
        <v>98326</v>
      </c>
      <c r="I106" s="75">
        <v>1257.1320000000001</v>
      </c>
      <c r="J106" s="75">
        <v>1336.048</v>
      </c>
      <c r="K106" s="75">
        <v>1498.287</v>
      </c>
      <c r="L106" s="75">
        <v>1678.2660000000001</v>
      </c>
      <c r="M106" s="75">
        <v>1760.2460000000001</v>
      </c>
      <c r="N106" s="75">
        <v>1910.79</v>
      </c>
      <c r="O106" s="150"/>
      <c r="P106" s="234" t="s">
        <v>64</v>
      </c>
      <c r="R106" s="29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</row>
    <row r="107" spans="1:36" s="6" customFormat="1" ht="12.2" customHeight="1">
      <c r="A107" s="150" t="s">
        <v>169</v>
      </c>
      <c r="B107" s="150"/>
      <c r="C107" s="195"/>
      <c r="D107" s="75">
        <v>19840</v>
      </c>
      <c r="E107" s="75">
        <v>26052</v>
      </c>
      <c r="F107" s="75">
        <v>29937</v>
      </c>
      <c r="G107" s="75">
        <v>39777</v>
      </c>
      <c r="H107" s="75">
        <v>33667</v>
      </c>
      <c r="I107" s="75">
        <f>9657.998-1189.16</f>
        <v>8468.8379999999997</v>
      </c>
      <c r="J107" s="75">
        <f>9940.921-1213.273</f>
        <v>8727.648000000001</v>
      </c>
      <c r="K107" s="75">
        <f>11619.803-1368.028</f>
        <v>10251.775</v>
      </c>
      <c r="L107" s="75">
        <f>13140.247-1452.838</f>
        <v>11687.409</v>
      </c>
      <c r="M107" s="75">
        <f>13881.949-1584.365</f>
        <v>12297.584000000001</v>
      </c>
      <c r="N107" s="75">
        <f>14754.923-1692.92</f>
        <v>13062.003000000001</v>
      </c>
      <c r="O107" s="150"/>
      <c r="P107" s="234" t="s">
        <v>65</v>
      </c>
      <c r="R107" s="29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</row>
    <row r="108" spans="1:36" s="22" customFormat="1" ht="12.2" customHeight="1">
      <c r="A108" s="150" t="s">
        <v>170</v>
      </c>
      <c r="B108" s="150"/>
      <c r="C108" s="195"/>
      <c r="D108" s="75">
        <v>35136</v>
      </c>
      <c r="E108" s="75">
        <v>47384</v>
      </c>
      <c r="F108" s="75">
        <v>64237</v>
      </c>
      <c r="G108" s="75">
        <v>70974</v>
      </c>
      <c r="H108" s="75">
        <v>91287</v>
      </c>
      <c r="I108" s="75">
        <v>1189.1600000000001</v>
      </c>
      <c r="J108" s="75">
        <v>1213.2729999999999</v>
      </c>
      <c r="K108" s="75">
        <v>1368.028</v>
      </c>
      <c r="L108" s="75">
        <v>1452.838</v>
      </c>
      <c r="M108" s="75">
        <f>1584.365</f>
        <v>1584.365</v>
      </c>
      <c r="N108" s="75">
        <v>1692.92</v>
      </c>
      <c r="O108" s="150"/>
      <c r="P108" s="234" t="s">
        <v>66</v>
      </c>
      <c r="R108" s="163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</row>
    <row r="109" spans="1:36" s="6" customFormat="1" ht="12.2" customHeight="1">
      <c r="A109" s="150" t="s">
        <v>63</v>
      </c>
      <c r="B109" s="150"/>
      <c r="C109" s="195"/>
      <c r="D109" s="75">
        <v>124879</v>
      </c>
      <c r="E109" s="75">
        <v>142460</v>
      </c>
      <c r="F109" s="75">
        <v>177247</v>
      </c>
      <c r="G109" s="75">
        <v>213844</v>
      </c>
      <c r="H109" s="75">
        <v>310621</v>
      </c>
      <c r="I109" s="75" t="s">
        <v>61</v>
      </c>
      <c r="J109" s="75" t="s">
        <v>61</v>
      </c>
      <c r="K109" s="75" t="s">
        <v>61</v>
      </c>
      <c r="L109" s="75" t="s">
        <v>61</v>
      </c>
      <c r="M109" s="75" t="s">
        <v>61</v>
      </c>
      <c r="N109" s="75" t="s">
        <v>61</v>
      </c>
      <c r="O109" s="150"/>
      <c r="P109" s="234" t="s">
        <v>67</v>
      </c>
      <c r="R109" s="60"/>
    </row>
    <row r="110" spans="1:36" s="6" customFormat="1" ht="12.2" customHeight="1">
      <c r="A110" s="150" t="s">
        <v>69</v>
      </c>
      <c r="B110" s="150"/>
      <c r="C110" s="195">
        <v>2356</v>
      </c>
      <c r="D110" s="75">
        <v>24668</v>
      </c>
      <c r="E110" s="75">
        <v>28808</v>
      </c>
      <c r="F110" s="75">
        <v>69878</v>
      </c>
      <c r="G110" s="75">
        <v>84887</v>
      </c>
      <c r="H110" s="75">
        <v>99485</v>
      </c>
      <c r="I110" s="75">
        <v>14561.082</v>
      </c>
      <c r="J110" s="75">
        <v>16261.776</v>
      </c>
      <c r="K110" s="75">
        <v>19318.187999999998</v>
      </c>
      <c r="L110" s="75">
        <v>21465.727999999999</v>
      </c>
      <c r="M110" s="75">
        <v>22854.591</v>
      </c>
      <c r="N110" s="75">
        <v>24268.082999999999</v>
      </c>
      <c r="O110" s="150"/>
      <c r="P110" s="234" t="s">
        <v>68</v>
      </c>
      <c r="R110" s="29"/>
    </row>
    <row r="111" spans="1:36" s="6" customFormat="1" ht="12.2" customHeight="1">
      <c r="A111" s="150" t="s">
        <v>70</v>
      </c>
      <c r="B111" s="150"/>
      <c r="C111" s="195">
        <v>2783.7</v>
      </c>
      <c r="D111" s="75">
        <f t="shared" ref="D111:H111" si="13">SUM(D106:D110)</f>
        <v>286970</v>
      </c>
      <c r="E111" s="75">
        <f t="shared" si="13"/>
        <v>330100</v>
      </c>
      <c r="F111" s="75">
        <f t="shared" si="13"/>
        <v>421723</v>
      </c>
      <c r="G111" s="75">
        <f t="shared" si="13"/>
        <v>491521</v>
      </c>
      <c r="H111" s="75">
        <f t="shared" si="13"/>
        <v>633386</v>
      </c>
      <c r="I111" s="75">
        <v>25476.212</v>
      </c>
      <c r="J111" s="75">
        <v>27538.744999999999</v>
      </c>
      <c r="K111" s="75">
        <v>32436.277999999998</v>
      </c>
      <c r="L111" s="75">
        <v>36284.241000000002</v>
      </c>
      <c r="M111" s="75">
        <v>38496.786</v>
      </c>
      <c r="N111" s="75">
        <v>40933.796000000002</v>
      </c>
      <c r="O111" s="150"/>
      <c r="P111" s="234" t="s">
        <v>71</v>
      </c>
      <c r="R111" s="30"/>
    </row>
    <row r="112" spans="1:36" s="6" customFormat="1" ht="18" customHeight="1">
      <c r="A112" s="188" t="s">
        <v>119</v>
      </c>
      <c r="B112" s="188" t="s">
        <v>156</v>
      </c>
      <c r="C112" s="19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 t="s">
        <v>157</v>
      </c>
      <c r="P112" s="189" t="s">
        <v>129</v>
      </c>
      <c r="R112" s="30"/>
    </row>
    <row r="113" spans="1:18" s="6" customFormat="1" ht="12.2" customHeight="1">
      <c r="A113" s="150" t="s">
        <v>62</v>
      </c>
      <c r="B113" s="150"/>
      <c r="C113" s="195"/>
      <c r="D113" s="75">
        <v>830</v>
      </c>
      <c r="E113" s="75">
        <v>862</v>
      </c>
      <c r="F113" s="75">
        <v>955</v>
      </c>
      <c r="G113" s="75">
        <v>1403</v>
      </c>
      <c r="H113" s="75">
        <v>1605</v>
      </c>
      <c r="I113" s="75">
        <v>2391</v>
      </c>
      <c r="J113" s="75">
        <v>642</v>
      </c>
      <c r="K113" s="75">
        <v>712</v>
      </c>
      <c r="L113" s="75">
        <v>1221</v>
      </c>
      <c r="M113" s="75">
        <v>2055</v>
      </c>
      <c r="N113" s="75">
        <v>2738</v>
      </c>
      <c r="O113" s="150"/>
      <c r="P113" s="234" t="s">
        <v>64</v>
      </c>
      <c r="R113" s="29"/>
    </row>
    <row r="114" spans="1:18" s="6" customFormat="1" ht="12.2" customHeight="1">
      <c r="A114" s="150" t="s">
        <v>169</v>
      </c>
      <c r="B114" s="150"/>
      <c r="C114" s="195"/>
      <c r="D114" s="75">
        <f>T88+T89</f>
        <v>0</v>
      </c>
      <c r="E114" s="75">
        <f>U88+U89</f>
        <v>0</v>
      </c>
      <c r="F114" s="75">
        <f>V88+V89</f>
        <v>0</v>
      </c>
      <c r="G114" s="75">
        <f>W88+W89</f>
        <v>0</v>
      </c>
      <c r="H114" s="75">
        <v>40622</v>
      </c>
      <c r="I114" s="75">
        <v>57521</v>
      </c>
      <c r="J114" s="75">
        <v>50921</v>
      </c>
      <c r="K114" s="75">
        <f>6717+45897+23742</f>
        <v>76356</v>
      </c>
      <c r="L114" s="75">
        <f>27905+45319+22198</f>
        <v>95422</v>
      </c>
      <c r="M114" s="75">
        <f>21961+46165+19538</f>
        <v>87664</v>
      </c>
      <c r="N114" s="75">
        <f>13859+51384+19359</f>
        <v>84602</v>
      </c>
      <c r="O114" s="150"/>
      <c r="P114" s="234" t="s">
        <v>65</v>
      </c>
      <c r="R114" s="29"/>
    </row>
    <row r="115" spans="1:18" s="6" customFormat="1" ht="12.2" customHeight="1">
      <c r="A115" s="150" t="s">
        <v>170</v>
      </c>
      <c r="B115" s="150"/>
      <c r="C115" s="195"/>
      <c r="D115" s="75">
        <v>26845</v>
      </c>
      <c r="E115" s="75">
        <v>31681</v>
      </c>
      <c r="F115" s="75">
        <v>41897</v>
      </c>
      <c r="G115" s="75">
        <v>54344</v>
      </c>
      <c r="H115" s="75">
        <v>66003</v>
      </c>
      <c r="I115" s="75">
        <v>119251</v>
      </c>
      <c r="J115" s="75">
        <v>126010</v>
      </c>
      <c r="K115" s="75">
        <v>122683</v>
      </c>
      <c r="L115" s="75">
        <v>116066</v>
      </c>
      <c r="M115" s="75">
        <v>129118</v>
      </c>
      <c r="N115" s="75">
        <v>180941</v>
      </c>
      <c r="O115" s="150"/>
      <c r="P115" s="234" t="s">
        <v>66</v>
      </c>
      <c r="R115" s="29"/>
    </row>
    <row r="116" spans="1:18" s="6" customFormat="1" ht="12.2" customHeight="1">
      <c r="A116" s="150" t="s">
        <v>63</v>
      </c>
      <c r="B116" s="150"/>
      <c r="C116" s="195"/>
      <c r="D116" s="75">
        <v>57053</v>
      </c>
      <c r="E116" s="75">
        <v>69501</v>
      </c>
      <c r="F116" s="75">
        <v>85093</v>
      </c>
      <c r="G116" s="75">
        <v>92637</v>
      </c>
      <c r="H116" s="75">
        <v>102444</v>
      </c>
      <c r="I116" s="75">
        <v>124243</v>
      </c>
      <c r="J116" s="75">
        <v>100489</v>
      </c>
      <c r="K116" s="75">
        <v>97087</v>
      </c>
      <c r="L116" s="75">
        <v>105420</v>
      </c>
      <c r="M116" s="75">
        <v>106213</v>
      </c>
      <c r="N116" s="75">
        <v>130025</v>
      </c>
      <c r="O116" s="150"/>
      <c r="P116" s="234" t="s">
        <v>67</v>
      </c>
      <c r="R116" s="60"/>
    </row>
    <row r="117" spans="1:18" s="6" customFormat="1" ht="12.2" customHeight="1">
      <c r="A117" s="150" t="s">
        <v>69</v>
      </c>
      <c r="B117" s="150"/>
      <c r="C117" s="195">
        <v>2356</v>
      </c>
      <c r="D117" s="75">
        <f>D118-(D113+D114+D115+D116)</f>
        <v>112178</v>
      </c>
      <c r="E117" s="75">
        <f>E118-(E113+E114+E115+E116)</f>
        <v>144909</v>
      </c>
      <c r="F117" s="75">
        <f>F118-(F113+F114+F115+F116)</f>
        <v>225194</v>
      </c>
      <c r="G117" s="75">
        <f>G118-(G113+G114+G115+G116)</f>
        <v>325777</v>
      </c>
      <c r="H117" s="75">
        <v>416020</v>
      </c>
      <c r="I117" s="75">
        <v>620979</v>
      </c>
      <c r="J117" s="75">
        <v>680526</v>
      </c>
      <c r="K117" s="75">
        <f>26450+81879+99982+181949+65172+219837</f>
        <v>675269</v>
      </c>
      <c r="L117" s="75">
        <v>674777</v>
      </c>
      <c r="M117" s="75">
        <f>M118-(M116+M115+M114+M113)</f>
        <v>701209</v>
      </c>
      <c r="N117" s="75">
        <f>N118-(N116+N115+N114+N113)</f>
        <v>718134</v>
      </c>
      <c r="O117" s="150"/>
      <c r="P117" s="234" t="s">
        <v>68</v>
      </c>
      <c r="R117" s="29"/>
    </row>
    <row r="118" spans="1:18" s="6" customFormat="1" ht="12.2" customHeight="1">
      <c r="A118" s="150" t="s">
        <v>70</v>
      </c>
      <c r="B118" s="150"/>
      <c r="C118" s="195">
        <v>2783.7</v>
      </c>
      <c r="D118" s="75">
        <v>196906</v>
      </c>
      <c r="E118" s="75">
        <v>246953</v>
      </c>
      <c r="F118" s="75">
        <v>353139</v>
      </c>
      <c r="G118" s="75">
        <v>474161</v>
      </c>
      <c r="H118" s="75">
        <v>626694</v>
      </c>
      <c r="I118" s="75">
        <v>924385</v>
      </c>
      <c r="J118" s="75">
        <v>958588</v>
      </c>
      <c r="K118" s="75">
        <f>SUM(K113:K117)</f>
        <v>972107</v>
      </c>
      <c r="L118" s="75">
        <f>SUM(L113:L117)</f>
        <v>992906</v>
      </c>
      <c r="M118" s="75">
        <v>1026259</v>
      </c>
      <c r="N118" s="75">
        <v>1116440</v>
      </c>
      <c r="O118" s="150"/>
      <c r="P118" s="234" t="s">
        <v>71</v>
      </c>
      <c r="R118" s="30"/>
    </row>
    <row r="119" spans="1:18" s="6" customFormat="1" ht="18" customHeight="1">
      <c r="A119" s="188" t="s">
        <v>103</v>
      </c>
      <c r="B119" s="188" t="s">
        <v>151</v>
      </c>
      <c r="C119" s="19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 t="s">
        <v>152</v>
      </c>
      <c r="P119" s="189" t="s">
        <v>115</v>
      </c>
      <c r="R119" s="30"/>
    </row>
    <row r="120" spans="1:18" s="6" customFormat="1" ht="12.2" customHeight="1">
      <c r="A120" s="150" t="s">
        <v>62</v>
      </c>
      <c r="B120" s="150"/>
      <c r="C120" s="195"/>
      <c r="D120" s="75">
        <v>711</v>
      </c>
      <c r="E120" s="75">
        <v>2186.1999999999998</v>
      </c>
      <c r="F120" s="75">
        <v>3876.9</v>
      </c>
      <c r="G120" s="75">
        <v>4792.8999999999996</v>
      </c>
      <c r="H120" s="75">
        <v>4660.1000000000004</v>
      </c>
      <c r="I120" s="75">
        <v>4899</v>
      </c>
      <c r="J120" s="75">
        <v>5885.5</v>
      </c>
      <c r="K120" s="75">
        <v>7738</v>
      </c>
      <c r="L120" s="75">
        <v>7175.1</v>
      </c>
      <c r="M120" s="75">
        <v>10287</v>
      </c>
      <c r="N120" s="75">
        <v>13646.4</v>
      </c>
      <c r="O120" s="150"/>
      <c r="P120" s="234" t="s">
        <v>64</v>
      </c>
      <c r="R120" s="29"/>
    </row>
    <row r="121" spans="1:18" s="6" customFormat="1" ht="12.2" customHeight="1">
      <c r="A121" s="150" t="s">
        <v>169</v>
      </c>
      <c r="B121" s="150"/>
      <c r="C121" s="195"/>
      <c r="D121" s="75">
        <v>21423.5</v>
      </c>
      <c r="E121" s="75">
        <v>29200.799999999999</v>
      </c>
      <c r="F121" s="75">
        <v>30925.7</v>
      </c>
      <c r="G121" s="75">
        <v>41496</v>
      </c>
      <c r="H121" s="75">
        <v>51810.8</v>
      </c>
      <c r="I121" s="75">
        <v>67522.7</v>
      </c>
      <c r="J121" s="75">
        <v>63772</v>
      </c>
      <c r="K121" s="75">
        <v>63703</v>
      </c>
      <c r="L121" s="75">
        <v>45625.5</v>
      </c>
      <c r="M121" s="75">
        <v>39465.300000000003</v>
      </c>
      <c r="N121" s="75">
        <v>56929.599999999999</v>
      </c>
      <c r="O121" s="150"/>
      <c r="P121" s="234" t="s">
        <v>65</v>
      </c>
      <c r="R121" s="29"/>
    </row>
    <row r="122" spans="1:18" s="6" customFormat="1" ht="12.2" customHeight="1">
      <c r="A122" s="150" t="s">
        <v>170</v>
      </c>
      <c r="B122" s="150"/>
      <c r="C122" s="195"/>
      <c r="D122" s="75">
        <v>8873.2999999999993</v>
      </c>
      <c r="E122" s="75">
        <v>12175</v>
      </c>
      <c r="F122" s="75">
        <v>16207.4</v>
      </c>
      <c r="G122" s="75">
        <v>17798.599999999999</v>
      </c>
      <c r="H122" s="75">
        <v>23858.400000000001</v>
      </c>
      <c r="I122" s="75">
        <v>20216.2</v>
      </c>
      <c r="J122" s="75">
        <v>18002</v>
      </c>
      <c r="K122" s="75">
        <v>36680</v>
      </c>
      <c r="L122" s="75">
        <v>19607.7</v>
      </c>
      <c r="M122" s="75">
        <v>23209.9</v>
      </c>
      <c r="N122" s="75">
        <v>61333.8</v>
      </c>
      <c r="O122" s="150"/>
      <c r="P122" s="234" t="s">
        <v>66</v>
      </c>
      <c r="R122" s="29"/>
    </row>
    <row r="123" spans="1:18" s="6" customFormat="1" ht="12.2" customHeight="1">
      <c r="A123" s="150" t="s">
        <v>63</v>
      </c>
      <c r="B123" s="150"/>
      <c r="C123" s="195"/>
      <c r="D123" s="75">
        <v>52994.9</v>
      </c>
      <c r="E123" s="75">
        <v>74418.600000000006</v>
      </c>
      <c r="F123" s="75">
        <v>96369.1</v>
      </c>
      <c r="G123" s="75">
        <v>114345.5</v>
      </c>
      <c r="H123" s="75">
        <v>148989.4</v>
      </c>
      <c r="I123" s="75">
        <f>4545.7+56526.2+128840.2</f>
        <v>189912.09999999998</v>
      </c>
      <c r="J123" s="75">
        <f>6026.2+63039.3+145755.1</f>
        <v>214820.6</v>
      </c>
      <c r="K123" s="75">
        <v>194803</v>
      </c>
      <c r="L123" s="75">
        <f>7855.8+74152.6+85261.3</f>
        <v>167269.70000000001</v>
      </c>
      <c r="M123" s="75">
        <v>162627</v>
      </c>
      <c r="N123" s="75">
        <v>178627</v>
      </c>
      <c r="O123" s="150"/>
      <c r="P123" s="234" t="s">
        <v>67</v>
      </c>
      <c r="R123" s="92"/>
    </row>
    <row r="124" spans="1:18" s="6" customFormat="1" ht="12.2" customHeight="1">
      <c r="A124" s="150" t="s">
        <v>69</v>
      </c>
      <c r="B124" s="150"/>
      <c r="C124" s="195">
        <v>2356</v>
      </c>
      <c r="D124" s="75">
        <f>27079.6+26760</f>
        <v>53839.6</v>
      </c>
      <c r="E124" s="75">
        <f>33699.7+31930.9</f>
        <v>65630.600000000006</v>
      </c>
      <c r="F124" s="75">
        <f>38694.1+36618.2</f>
        <v>75312.299999999988</v>
      </c>
      <c r="G124" s="75">
        <f>39112.5+45456.9</f>
        <v>84569.4</v>
      </c>
      <c r="H124" s="75">
        <f>80538.8+49837.1</f>
        <v>130375.9</v>
      </c>
      <c r="I124" s="75">
        <v>135790.29999999999</v>
      </c>
      <c r="J124" s="75">
        <f>51955.8+57017.4</f>
        <v>108973.20000000001</v>
      </c>
      <c r="K124" s="75">
        <v>143354</v>
      </c>
      <c r="L124" s="75">
        <f>57191.3+79634.8</f>
        <v>136826.1</v>
      </c>
      <c r="M124" s="75">
        <v>141080</v>
      </c>
      <c r="N124" s="75">
        <v>209073</v>
      </c>
      <c r="O124" s="150"/>
      <c r="P124" s="234" t="s">
        <v>68</v>
      </c>
      <c r="R124" s="29"/>
    </row>
    <row r="125" spans="1:18" s="6" customFormat="1" ht="12.2" customHeight="1" thickBot="1">
      <c r="A125" s="202" t="s">
        <v>70</v>
      </c>
      <c r="B125" s="202"/>
      <c r="C125" s="243">
        <v>2783.7</v>
      </c>
      <c r="D125" s="76">
        <f t="shared" ref="D125:L125" si="14">SUM(D120:D124)</f>
        <v>137842.29999999999</v>
      </c>
      <c r="E125" s="76">
        <f t="shared" si="14"/>
        <v>183611.2</v>
      </c>
      <c r="F125" s="76">
        <f t="shared" si="14"/>
        <v>222691.4</v>
      </c>
      <c r="G125" s="76">
        <f t="shared" si="14"/>
        <v>263002.40000000002</v>
      </c>
      <c r="H125" s="76">
        <f t="shared" si="14"/>
        <v>359694.6</v>
      </c>
      <c r="I125" s="76">
        <f t="shared" si="14"/>
        <v>418340.3</v>
      </c>
      <c r="J125" s="76">
        <f t="shared" si="14"/>
        <v>411453.3</v>
      </c>
      <c r="K125" s="76">
        <f t="shared" si="14"/>
        <v>446278</v>
      </c>
      <c r="L125" s="76">
        <f t="shared" si="14"/>
        <v>376504.1</v>
      </c>
      <c r="M125" s="76">
        <f>SUM(M120:M124)</f>
        <v>376669.2</v>
      </c>
      <c r="N125" s="76">
        <f>SUM(N120:N124)</f>
        <v>519609.8</v>
      </c>
      <c r="O125" s="202"/>
      <c r="P125" s="244" t="s">
        <v>71</v>
      </c>
    </row>
    <row r="126" spans="1:18" s="108" customFormat="1">
      <c r="A126" s="205" t="s">
        <v>125</v>
      </c>
      <c r="B126" s="205"/>
      <c r="C126" s="205"/>
      <c r="D126" s="205"/>
      <c r="E126" s="205"/>
      <c r="F126" s="205"/>
      <c r="G126" s="205"/>
      <c r="H126" s="205"/>
      <c r="I126" s="206"/>
      <c r="J126" s="205"/>
      <c r="K126" s="205"/>
      <c r="L126" s="205"/>
      <c r="M126" s="205"/>
      <c r="N126" s="205"/>
      <c r="O126" s="205"/>
      <c r="P126" s="207" t="s">
        <v>124</v>
      </c>
    </row>
    <row r="127" spans="1:18">
      <c r="A127" s="205" t="s">
        <v>312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10" t="s">
        <v>313</v>
      </c>
    </row>
    <row r="128" spans="1:18">
      <c r="A128" s="16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160"/>
      <c r="O128" s="36"/>
      <c r="P128" s="38"/>
    </row>
    <row r="129" spans="3:2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47"/>
      <c r="O129" s="9"/>
      <c r="P129" s="10"/>
    </row>
    <row r="130" spans="3:2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47"/>
      <c r="O130" s="9"/>
      <c r="P130" s="11"/>
    </row>
    <row r="131" spans="3:21" ht="13.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47"/>
      <c r="O131" s="9"/>
      <c r="P131" s="11"/>
      <c r="U131" s="6"/>
    </row>
    <row r="132" spans="3:2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47"/>
      <c r="O132" s="9"/>
      <c r="P132" s="11"/>
    </row>
    <row r="133" spans="3:21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47"/>
      <c r="O133" s="9"/>
      <c r="P133" s="11"/>
    </row>
    <row r="134" spans="3:2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47"/>
      <c r="O134" s="9"/>
      <c r="P134" s="11"/>
    </row>
    <row r="135" spans="3:21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47"/>
      <c r="O135" s="9"/>
      <c r="P135" s="11"/>
    </row>
    <row r="136" spans="3:21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47"/>
      <c r="O136" s="9"/>
      <c r="P136" s="11"/>
    </row>
    <row r="137" spans="3:2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47"/>
      <c r="O137" s="9"/>
      <c r="P137" s="10"/>
    </row>
    <row r="138" spans="3:21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47"/>
      <c r="O138" s="9"/>
      <c r="P138" s="11"/>
    </row>
    <row r="139" spans="3:2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47"/>
      <c r="O139" s="9"/>
      <c r="P139" s="11"/>
    </row>
    <row r="140" spans="3:2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47"/>
      <c r="O140" s="9"/>
      <c r="P140" s="11"/>
    </row>
    <row r="141" spans="3:2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47"/>
      <c r="O141" s="9"/>
      <c r="P141" s="11"/>
    </row>
    <row r="142" spans="3:2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47"/>
      <c r="O142" s="9"/>
      <c r="P142" s="11"/>
    </row>
    <row r="143" spans="3:21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47"/>
      <c r="O143" s="9"/>
      <c r="P143" s="11"/>
    </row>
    <row r="144" spans="3:2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47"/>
      <c r="O144" s="9"/>
      <c r="P144" s="11"/>
    </row>
    <row r="145" spans="3:16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47"/>
      <c r="O145" s="9"/>
      <c r="P145" s="11"/>
    </row>
    <row r="146" spans="3:16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47"/>
      <c r="O146" s="9"/>
      <c r="P146" s="11"/>
    </row>
    <row r="147" spans="3:16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47"/>
      <c r="O147" s="9"/>
      <c r="P147" s="11"/>
    </row>
    <row r="148" spans="3:16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47"/>
      <c r="O148" s="9"/>
      <c r="P148" s="11"/>
    </row>
    <row r="149" spans="3:16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47"/>
      <c r="O149" s="9"/>
      <c r="P149" s="11"/>
    </row>
    <row r="150" spans="3:16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47"/>
      <c r="O150" s="9"/>
      <c r="P150" s="11"/>
    </row>
    <row r="151" spans="3:16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47"/>
      <c r="O151" s="9"/>
      <c r="P151" s="10"/>
    </row>
    <row r="152" spans="3:16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47"/>
      <c r="O152" s="9"/>
      <c r="P152" s="11"/>
    </row>
    <row r="153" spans="3:16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47"/>
      <c r="O153" s="9"/>
      <c r="P153" s="11"/>
    </row>
    <row r="154" spans="3:16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47"/>
      <c r="O154" s="9"/>
      <c r="P154" s="11"/>
    </row>
    <row r="155" spans="3:16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47"/>
      <c r="O155" s="9"/>
      <c r="P155" s="11"/>
    </row>
    <row r="156" spans="3:16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47"/>
      <c r="O156" s="9"/>
      <c r="P156" s="11"/>
    </row>
    <row r="157" spans="3:16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47"/>
      <c r="O157" s="9"/>
      <c r="P157" s="11"/>
    </row>
    <row r="158" spans="3:16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47"/>
      <c r="O158" s="9"/>
      <c r="P158" s="11"/>
    </row>
    <row r="159" spans="3:16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47"/>
      <c r="O159" s="9"/>
      <c r="P159" s="11"/>
    </row>
    <row r="160" spans="3:16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47"/>
      <c r="O160" s="9"/>
      <c r="P160" s="11"/>
    </row>
    <row r="161" spans="3:16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47"/>
      <c r="O161" s="9"/>
      <c r="P161" s="11"/>
    </row>
    <row r="162" spans="3:16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47"/>
      <c r="O162" s="9"/>
      <c r="P162" s="11"/>
    </row>
    <row r="163" spans="3:16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47"/>
      <c r="O163" s="9"/>
      <c r="P163" s="11"/>
    </row>
    <row r="164" spans="3:16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47"/>
      <c r="O164" s="9"/>
      <c r="P164" s="11"/>
    </row>
    <row r="165" spans="3:16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47"/>
      <c r="O165" s="9"/>
      <c r="P165" s="11"/>
    </row>
    <row r="166" spans="3:16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47"/>
      <c r="O166" s="9"/>
      <c r="P166" s="11"/>
    </row>
    <row r="167" spans="3:16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47"/>
      <c r="O167" s="9"/>
      <c r="P167" s="11"/>
    </row>
    <row r="168" spans="3:16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47"/>
      <c r="O168" s="9"/>
      <c r="P168" s="11"/>
    </row>
    <row r="169" spans="3:16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47"/>
      <c r="O169" s="9"/>
      <c r="P169" s="11"/>
    </row>
    <row r="170" spans="3:16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47"/>
      <c r="O170" s="9"/>
      <c r="P170" s="11"/>
    </row>
    <row r="171" spans="3:16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47"/>
      <c r="O171" s="9"/>
      <c r="P171" s="11"/>
    </row>
    <row r="172" spans="3:16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47"/>
      <c r="O172" s="9"/>
      <c r="P172" s="11"/>
    </row>
    <row r="173" spans="3:16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47"/>
      <c r="O173" s="9"/>
      <c r="P173" s="10"/>
    </row>
    <row r="174" spans="3:16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47"/>
      <c r="O174" s="9"/>
      <c r="P174" s="10"/>
    </row>
    <row r="175" spans="3:16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47"/>
      <c r="O175" s="9"/>
      <c r="P175" s="11"/>
    </row>
    <row r="176" spans="3:16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47"/>
      <c r="O176" s="9"/>
      <c r="P176" s="10"/>
    </row>
    <row r="177" spans="3:16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47"/>
      <c r="O177" s="9"/>
      <c r="P177" s="10"/>
    </row>
    <row r="178" spans="3:16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47"/>
      <c r="O178" s="9"/>
      <c r="P178" s="10"/>
    </row>
    <row r="179" spans="3:16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47"/>
      <c r="O179" s="9"/>
      <c r="P179" s="11"/>
    </row>
    <row r="180" spans="3:16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47"/>
      <c r="O180" s="9"/>
      <c r="P180" s="11"/>
    </row>
    <row r="181" spans="3:16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47"/>
      <c r="O181" s="9"/>
      <c r="P181" s="11"/>
    </row>
    <row r="182" spans="3:16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47"/>
      <c r="O182" s="9"/>
      <c r="P182" s="11"/>
    </row>
    <row r="183" spans="3:16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47"/>
      <c r="O183" s="9"/>
      <c r="P183" s="11"/>
    </row>
    <row r="184" spans="3:16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47"/>
      <c r="O184" s="9"/>
      <c r="P184" s="11"/>
    </row>
    <row r="185" spans="3:16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47"/>
      <c r="O185" s="9"/>
      <c r="P185" s="11"/>
    </row>
    <row r="186" spans="3:16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47"/>
      <c r="O186" s="9"/>
      <c r="P186" s="11"/>
    </row>
    <row r="187" spans="3:16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47"/>
      <c r="O187" s="9"/>
      <c r="P187" s="11"/>
    </row>
    <row r="188" spans="3:16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47"/>
      <c r="O188" s="9"/>
      <c r="P188" s="11"/>
    </row>
    <row r="189" spans="3:16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47"/>
      <c r="O189" s="9"/>
      <c r="P189" s="11"/>
    </row>
    <row r="190" spans="3:16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47"/>
      <c r="O190" s="9"/>
      <c r="P190" s="11"/>
    </row>
    <row r="191" spans="3:16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47"/>
      <c r="O191" s="9"/>
      <c r="P191" s="11"/>
    </row>
    <row r="192" spans="3:16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47"/>
      <c r="O192" s="9"/>
      <c r="P192" s="11"/>
    </row>
    <row r="193" spans="3:16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47"/>
      <c r="O193" s="9"/>
      <c r="P193" s="10"/>
    </row>
    <row r="194" spans="3:16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47"/>
      <c r="O194" s="9"/>
      <c r="P194" s="11"/>
    </row>
    <row r="195" spans="3:16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47"/>
      <c r="O195" s="9"/>
      <c r="P195" s="12"/>
    </row>
    <row r="196" spans="3:1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47"/>
      <c r="O196" s="9"/>
      <c r="P196" s="12"/>
    </row>
    <row r="197" spans="3:16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47"/>
      <c r="O197" s="9"/>
      <c r="P197" s="12"/>
    </row>
    <row r="198" spans="3:16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47"/>
      <c r="O198" s="9"/>
      <c r="P198" s="12"/>
    </row>
    <row r="199" spans="3:16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47"/>
      <c r="O199" s="9"/>
      <c r="P199" s="13"/>
    </row>
    <row r="200" spans="3:16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47"/>
      <c r="O200" s="9"/>
      <c r="P200" s="13"/>
    </row>
    <row r="201" spans="3:16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47"/>
      <c r="O201" s="9"/>
      <c r="P201" s="13"/>
    </row>
    <row r="202" spans="3:16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47"/>
      <c r="O202" s="9"/>
      <c r="P202" s="13"/>
    </row>
    <row r="203" spans="3:16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47"/>
      <c r="O203" s="9"/>
      <c r="P203" s="13"/>
    </row>
    <row r="204" spans="3:16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47"/>
      <c r="O204" s="9"/>
      <c r="P204" s="13"/>
    </row>
    <row r="205" spans="3:16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47"/>
      <c r="O205" s="9"/>
      <c r="P205" s="13"/>
    </row>
    <row r="206" spans="3:1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47"/>
      <c r="O206" s="9"/>
      <c r="P206" s="13"/>
    </row>
    <row r="207" spans="3:16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47"/>
      <c r="O207" s="9"/>
      <c r="P207" s="13"/>
    </row>
    <row r="208" spans="3:16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47"/>
      <c r="O208" s="9"/>
      <c r="P208" s="13"/>
    </row>
    <row r="209" spans="3:16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47"/>
      <c r="O209" s="9"/>
      <c r="P209" s="13"/>
    </row>
    <row r="210" spans="3:16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47"/>
      <c r="O210" s="9"/>
      <c r="P210" s="13"/>
    </row>
    <row r="211" spans="3:16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47"/>
      <c r="O211" s="9"/>
      <c r="P211" s="13"/>
    </row>
    <row r="212" spans="3:16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47"/>
      <c r="O212" s="9"/>
      <c r="P212" s="13"/>
    </row>
    <row r="213" spans="3:16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47"/>
      <c r="O213" s="9"/>
      <c r="P213" s="13"/>
    </row>
    <row r="214" spans="3:16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47"/>
      <c r="O214" s="9"/>
      <c r="P214" s="13"/>
    </row>
    <row r="215" spans="3:16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47"/>
      <c r="O215" s="9"/>
      <c r="P215" s="13"/>
    </row>
    <row r="216" spans="3: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47"/>
      <c r="O216" s="9"/>
      <c r="P216" s="13"/>
    </row>
    <row r="217" spans="3:16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47"/>
      <c r="O217" s="9"/>
      <c r="P217" s="13"/>
    </row>
    <row r="218" spans="3:16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47"/>
      <c r="O218" s="9"/>
      <c r="P218" s="13"/>
    </row>
    <row r="219" spans="3:16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47"/>
      <c r="O219" s="9"/>
      <c r="P219" s="13"/>
    </row>
    <row r="220" spans="3:16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47"/>
      <c r="O220" s="9"/>
      <c r="P220" s="13"/>
    </row>
    <row r="221" spans="3:16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47"/>
      <c r="O221" s="9"/>
      <c r="P221" s="13"/>
    </row>
    <row r="222" spans="3:16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47"/>
      <c r="O222" s="9"/>
      <c r="P222" s="13"/>
    </row>
    <row r="223" spans="3:16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47"/>
      <c r="O223" s="9"/>
      <c r="P223" s="13"/>
    </row>
    <row r="224" spans="3:16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47"/>
      <c r="O224" s="9"/>
      <c r="P224" s="13"/>
    </row>
    <row r="225" spans="3:16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47"/>
      <c r="O225" s="9"/>
      <c r="P225" s="13"/>
    </row>
    <row r="226" spans="3:1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47"/>
      <c r="O226" s="9"/>
      <c r="P226" s="13"/>
    </row>
    <row r="227" spans="3:16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47"/>
      <c r="O227" s="9"/>
      <c r="P227" s="13"/>
    </row>
    <row r="228" spans="3:16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47"/>
      <c r="O228" s="9"/>
      <c r="P228" s="13"/>
    </row>
    <row r="229" spans="3:16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47"/>
      <c r="O229" s="9"/>
      <c r="P229" s="13"/>
    </row>
    <row r="230" spans="3:16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47"/>
      <c r="O230" s="9"/>
      <c r="P230" s="13"/>
    </row>
    <row r="231" spans="3:16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47"/>
      <c r="O231" s="9"/>
      <c r="P231" s="13"/>
    </row>
    <row r="232" spans="3:16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47"/>
      <c r="O232" s="9"/>
      <c r="P232" s="13"/>
    </row>
    <row r="233" spans="3:16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47"/>
      <c r="O233" s="9"/>
      <c r="P233" s="13"/>
    </row>
    <row r="234" spans="3:16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47"/>
      <c r="O234" s="9"/>
      <c r="P234" s="13"/>
    </row>
    <row r="235" spans="3:16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47"/>
      <c r="O235" s="9"/>
      <c r="P235" s="13"/>
    </row>
    <row r="236" spans="3:1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47"/>
      <c r="O236" s="9"/>
      <c r="P236" s="13"/>
    </row>
    <row r="237" spans="3:16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47"/>
      <c r="O237" s="9"/>
      <c r="P237" s="13"/>
    </row>
    <row r="238" spans="3:16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47"/>
      <c r="O238" s="9"/>
      <c r="P238" s="13"/>
    </row>
    <row r="239" spans="3:16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47"/>
      <c r="O239" s="9"/>
      <c r="P239" s="13"/>
    </row>
    <row r="240" spans="3:16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47"/>
      <c r="O240" s="9"/>
      <c r="P240" s="13"/>
    </row>
    <row r="241" spans="3:16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47"/>
      <c r="O241" s="9"/>
      <c r="P241" s="13"/>
    </row>
    <row r="242" spans="3:16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47"/>
      <c r="O242" s="9"/>
      <c r="P242" s="13"/>
    </row>
    <row r="243" spans="3:16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47"/>
      <c r="O243" s="9"/>
      <c r="P243" s="13"/>
    </row>
    <row r="244" spans="3:16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47"/>
      <c r="O244" s="9"/>
      <c r="P244" s="13"/>
    </row>
    <row r="245" spans="3:16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47"/>
      <c r="O245" s="9"/>
      <c r="P245" s="13"/>
    </row>
    <row r="246" spans="3:1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47"/>
      <c r="O246" s="9"/>
      <c r="P246" s="13"/>
    </row>
    <row r="247" spans="3:16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47"/>
      <c r="O247" s="9"/>
      <c r="P247" s="13"/>
    </row>
    <row r="248" spans="3:16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47"/>
      <c r="O248" s="9"/>
      <c r="P248" s="13"/>
    </row>
    <row r="249" spans="3:16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47"/>
      <c r="O249" s="9"/>
      <c r="P249" s="13"/>
    </row>
    <row r="250" spans="3:16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47"/>
      <c r="O250" s="9"/>
      <c r="P250" s="13"/>
    </row>
    <row r="251" spans="3:16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47"/>
      <c r="O251" s="9"/>
      <c r="P251" s="13"/>
    </row>
    <row r="252" spans="3:16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47"/>
      <c r="O252" s="9"/>
      <c r="P252" s="13"/>
    </row>
    <row r="253" spans="3:16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47"/>
      <c r="O253" s="9"/>
      <c r="P253" s="13"/>
    </row>
    <row r="254" spans="3:16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47"/>
      <c r="O254" s="9"/>
      <c r="P254" s="13"/>
    </row>
    <row r="255" spans="3:16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47"/>
      <c r="O255" s="9"/>
      <c r="P255" s="13"/>
    </row>
    <row r="256" spans="3:1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47"/>
      <c r="O256" s="9"/>
      <c r="P256" s="13"/>
    </row>
    <row r="257" spans="3:16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47"/>
      <c r="O257" s="9"/>
      <c r="P257" s="13"/>
    </row>
    <row r="258" spans="3:16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47"/>
      <c r="O258" s="9"/>
      <c r="P258" s="13"/>
    </row>
    <row r="259" spans="3:16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47"/>
      <c r="O259" s="9"/>
      <c r="P259" s="13"/>
    </row>
    <row r="260" spans="3:16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47"/>
      <c r="O260" s="9"/>
      <c r="P260" s="13"/>
    </row>
    <row r="261" spans="3:16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47"/>
      <c r="O261" s="9"/>
      <c r="P261" s="13"/>
    </row>
    <row r="262" spans="3:16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47"/>
      <c r="O262" s="9"/>
      <c r="P262" s="13"/>
    </row>
    <row r="263" spans="3:16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47"/>
      <c r="O263" s="9"/>
      <c r="P263" s="13"/>
    </row>
    <row r="264" spans="3:16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47"/>
      <c r="O264" s="9"/>
      <c r="P264" s="13"/>
    </row>
    <row r="265" spans="3:16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47"/>
      <c r="O265" s="9"/>
      <c r="P265" s="13"/>
    </row>
    <row r="266" spans="3:1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47"/>
      <c r="O266" s="9"/>
      <c r="P266" s="13"/>
    </row>
    <row r="267" spans="3:16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47"/>
      <c r="O267" s="9"/>
      <c r="P267" s="13"/>
    </row>
    <row r="268" spans="3:16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47"/>
      <c r="O268" s="9"/>
      <c r="P268" s="13"/>
    </row>
    <row r="269" spans="3:16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47"/>
      <c r="O269" s="9"/>
      <c r="P269" s="13"/>
    </row>
    <row r="270" spans="3:16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47"/>
      <c r="O270" s="9"/>
      <c r="P270" s="13"/>
    </row>
    <row r="271" spans="3:16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47"/>
      <c r="O271" s="9"/>
      <c r="P271" s="13"/>
    </row>
    <row r="272" spans="3:16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47"/>
      <c r="O272" s="9"/>
      <c r="P272" s="13"/>
    </row>
    <row r="273" spans="3:16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47"/>
      <c r="O273" s="9"/>
      <c r="P273" s="13"/>
    </row>
    <row r="274" spans="3:16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47"/>
      <c r="O274" s="9"/>
      <c r="P274" s="13"/>
    </row>
    <row r="275" spans="3:16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47"/>
      <c r="O275" s="9"/>
      <c r="P275" s="13"/>
    </row>
    <row r="276" spans="3:1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47"/>
      <c r="O276" s="9"/>
      <c r="P276" s="13"/>
    </row>
    <row r="277" spans="3:16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47"/>
      <c r="O277" s="9"/>
      <c r="P277" s="13"/>
    </row>
    <row r="278" spans="3:16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47"/>
      <c r="O278" s="9"/>
      <c r="P278" s="13"/>
    </row>
    <row r="279" spans="3:16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47"/>
      <c r="O279" s="9"/>
      <c r="P279" s="13"/>
    </row>
    <row r="280" spans="3:16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47"/>
      <c r="O280" s="9"/>
      <c r="P280" s="13"/>
    </row>
    <row r="281" spans="3:16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47"/>
      <c r="O281" s="9"/>
      <c r="P281" s="13"/>
    </row>
    <row r="282" spans="3:16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47"/>
      <c r="O282" s="9"/>
      <c r="P282" s="13"/>
    </row>
    <row r="283" spans="3:16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47"/>
      <c r="O283" s="9"/>
      <c r="P283" s="13"/>
    </row>
    <row r="284" spans="3:16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47"/>
      <c r="O284" s="9"/>
      <c r="P284" s="13"/>
    </row>
    <row r="285" spans="3:16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47"/>
      <c r="O285" s="9"/>
      <c r="P285" s="13"/>
    </row>
    <row r="286" spans="3:1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47"/>
      <c r="O286" s="9"/>
      <c r="P286" s="13"/>
    </row>
    <row r="287" spans="3:16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47"/>
      <c r="O287" s="9"/>
      <c r="P287" s="13"/>
    </row>
    <row r="288" spans="3:16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47"/>
      <c r="O288" s="9"/>
      <c r="P288" s="13"/>
    </row>
    <row r="289" spans="3:16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47"/>
      <c r="O289" s="9"/>
      <c r="P289" s="13"/>
    </row>
    <row r="290" spans="3:16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47"/>
      <c r="O290" s="9"/>
      <c r="P290" s="13"/>
    </row>
    <row r="291" spans="3:16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47"/>
      <c r="O291" s="9"/>
      <c r="P291" s="13"/>
    </row>
    <row r="292" spans="3:16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47"/>
      <c r="O292" s="9"/>
      <c r="P292" s="13"/>
    </row>
    <row r="293" spans="3:16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47"/>
      <c r="O293" s="9"/>
      <c r="P293" s="13"/>
    </row>
    <row r="294" spans="3:16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47"/>
      <c r="O294" s="9"/>
      <c r="P294" s="13"/>
    </row>
    <row r="295" spans="3:16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47"/>
      <c r="O295" s="9"/>
      <c r="P295" s="13"/>
    </row>
    <row r="296" spans="3:1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47"/>
      <c r="O296" s="9"/>
      <c r="P296" s="13"/>
    </row>
    <row r="297" spans="3:16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47"/>
      <c r="O297" s="9"/>
      <c r="P297" s="13"/>
    </row>
    <row r="298" spans="3:16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47"/>
      <c r="O298" s="9"/>
      <c r="P298" s="13"/>
    </row>
    <row r="299" spans="3:16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47"/>
      <c r="O299" s="9"/>
      <c r="P299" s="13"/>
    </row>
    <row r="300" spans="3:16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47"/>
      <c r="O300" s="9"/>
      <c r="P300" s="13"/>
    </row>
    <row r="301" spans="3:16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47"/>
      <c r="O301" s="9"/>
      <c r="P301" s="13"/>
    </row>
    <row r="302" spans="3:16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47"/>
      <c r="O302" s="9"/>
      <c r="P302" s="13"/>
    </row>
    <row r="303" spans="3:16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47"/>
      <c r="O303" s="9"/>
      <c r="P303" s="13"/>
    </row>
    <row r="304" spans="3:16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47"/>
      <c r="O304" s="9"/>
      <c r="P304" s="13"/>
    </row>
    <row r="305" spans="3:16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47"/>
      <c r="O305" s="9"/>
      <c r="P305" s="13"/>
    </row>
    <row r="306" spans="3:1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47"/>
      <c r="O306" s="9"/>
      <c r="P306" s="13"/>
    </row>
    <row r="307" spans="3:16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47"/>
      <c r="O307" s="9"/>
      <c r="P307" s="13"/>
    </row>
    <row r="308" spans="3:16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47"/>
      <c r="O308" s="9"/>
      <c r="P308" s="13"/>
    </row>
    <row r="309" spans="3:16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47"/>
      <c r="O309" s="9"/>
      <c r="P309" s="13"/>
    </row>
    <row r="310" spans="3:16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47"/>
      <c r="O310" s="9"/>
      <c r="P310" s="13"/>
    </row>
    <row r="311" spans="3:16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47"/>
      <c r="O311" s="9"/>
      <c r="P311" s="13"/>
    </row>
    <row r="312" spans="3:16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47"/>
      <c r="O312" s="9"/>
      <c r="P312" s="13"/>
    </row>
    <row r="313" spans="3:16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47"/>
      <c r="O313" s="9"/>
      <c r="P313" s="13"/>
    </row>
    <row r="314" spans="3:16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47"/>
      <c r="O314" s="9"/>
      <c r="P314" s="13"/>
    </row>
    <row r="315" spans="3:16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47"/>
      <c r="O315" s="9"/>
      <c r="P315" s="13"/>
    </row>
    <row r="316" spans="3: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47"/>
      <c r="O316" s="9"/>
      <c r="P316" s="9"/>
    </row>
    <row r="317" spans="3:16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47"/>
      <c r="O317" s="9"/>
      <c r="P317" s="9"/>
    </row>
    <row r="318" spans="3:16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47"/>
      <c r="O318" s="9"/>
      <c r="P318" s="9"/>
    </row>
    <row r="319" spans="3:16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47"/>
      <c r="O319" s="9"/>
      <c r="P319" s="9"/>
    </row>
    <row r="320" spans="3:16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47"/>
      <c r="O320" s="9"/>
      <c r="P320" s="9"/>
    </row>
    <row r="321" spans="3:16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47"/>
      <c r="O321" s="9"/>
      <c r="P321" s="9"/>
    </row>
    <row r="322" spans="3:16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47"/>
      <c r="O322" s="9"/>
      <c r="P322" s="9"/>
    </row>
    <row r="323" spans="3:16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47"/>
      <c r="O323" s="9"/>
      <c r="P323" s="9"/>
    </row>
    <row r="324" spans="3:16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47"/>
      <c r="O324" s="9"/>
      <c r="P324" s="9"/>
    </row>
    <row r="325" spans="3:16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47"/>
      <c r="O325" s="9"/>
      <c r="P325" s="9"/>
    </row>
    <row r="326" spans="3:1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47"/>
      <c r="O326" s="9"/>
      <c r="P326" s="9"/>
    </row>
    <row r="327" spans="3:16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47"/>
      <c r="O327" s="9"/>
      <c r="P327" s="9"/>
    </row>
    <row r="328" spans="3:16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47"/>
      <c r="O328" s="9"/>
      <c r="P328" s="9"/>
    </row>
    <row r="329" spans="3:16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47"/>
      <c r="O329" s="9"/>
      <c r="P329" s="9"/>
    </row>
    <row r="330" spans="3:16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47"/>
      <c r="O330" s="9"/>
      <c r="P330" s="9"/>
    </row>
    <row r="331" spans="3:16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47"/>
      <c r="O331" s="9"/>
      <c r="P331" s="9"/>
    </row>
    <row r="332" spans="3:16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47"/>
      <c r="O332" s="9"/>
      <c r="P332" s="9"/>
    </row>
    <row r="333" spans="3:16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47"/>
      <c r="O333" s="9"/>
      <c r="P333" s="9"/>
    </row>
    <row r="334" spans="3:16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47"/>
      <c r="O334" s="9"/>
      <c r="P334" s="9"/>
    </row>
    <row r="335" spans="3:16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47"/>
      <c r="O335" s="9"/>
      <c r="P335" s="9"/>
    </row>
    <row r="336" spans="3:1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47"/>
      <c r="O336" s="9"/>
      <c r="P336" s="9"/>
    </row>
    <row r="337" spans="3:16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47"/>
      <c r="O337" s="9"/>
      <c r="P337" s="9"/>
    </row>
    <row r="338" spans="3:16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47"/>
      <c r="O338" s="9"/>
      <c r="P338" s="9"/>
    </row>
    <row r="339" spans="3:16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47"/>
      <c r="O339" s="9"/>
      <c r="P339" s="9"/>
    </row>
    <row r="340" spans="3:16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47"/>
      <c r="O340" s="9"/>
      <c r="P340" s="9"/>
    </row>
    <row r="341" spans="3:16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47"/>
      <c r="O341" s="9"/>
      <c r="P341" s="9"/>
    </row>
    <row r="342" spans="3:16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47"/>
      <c r="O342" s="9"/>
      <c r="P342" s="9"/>
    </row>
    <row r="343" spans="3:16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47"/>
      <c r="O343" s="9"/>
      <c r="P343" s="9"/>
    </row>
    <row r="344" spans="3:16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47"/>
      <c r="O344" s="9"/>
      <c r="P344" s="9"/>
    </row>
    <row r="345" spans="3:16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47"/>
      <c r="O345" s="9"/>
      <c r="P345" s="9"/>
    </row>
    <row r="346" spans="3:1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47"/>
      <c r="O346" s="9"/>
      <c r="P346" s="9"/>
    </row>
    <row r="347" spans="3:16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47"/>
      <c r="O347" s="9"/>
      <c r="P347" s="9"/>
    </row>
    <row r="348" spans="3:16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47"/>
      <c r="O348" s="9"/>
      <c r="P348" s="9"/>
    </row>
    <row r="349" spans="3:16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47"/>
      <c r="O349" s="9"/>
      <c r="P349" s="9"/>
    </row>
    <row r="350" spans="3:16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47"/>
      <c r="O350" s="9"/>
      <c r="P350" s="9"/>
    </row>
    <row r="351" spans="3:16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47"/>
      <c r="O351" s="9"/>
      <c r="P351" s="9"/>
    </row>
    <row r="352" spans="3:16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47"/>
      <c r="O352" s="9"/>
      <c r="P352" s="9"/>
    </row>
    <row r="353" spans="3:16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47"/>
      <c r="O353" s="9"/>
      <c r="P353" s="9"/>
    </row>
    <row r="354" spans="3:16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47"/>
      <c r="O354" s="9"/>
      <c r="P354" s="9"/>
    </row>
    <row r="355" spans="3:16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47"/>
      <c r="O355" s="9"/>
      <c r="P355" s="9"/>
    </row>
    <row r="356" spans="3:1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47"/>
      <c r="O356" s="9"/>
      <c r="P356" s="9"/>
    </row>
    <row r="357" spans="3:16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47"/>
      <c r="O357" s="9"/>
      <c r="P357" s="9"/>
    </row>
    <row r="358" spans="3:16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47"/>
      <c r="O358" s="9"/>
      <c r="P358" s="9"/>
    </row>
    <row r="359" spans="3:16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47"/>
      <c r="O359" s="9"/>
      <c r="P359" s="9"/>
    </row>
    <row r="360" spans="3:16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47"/>
      <c r="O360" s="9"/>
      <c r="P360" s="9"/>
    </row>
    <row r="361" spans="3:16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47"/>
      <c r="O361" s="9"/>
      <c r="P361" s="9"/>
    </row>
    <row r="362" spans="3:16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47"/>
      <c r="O362" s="9"/>
      <c r="P362" s="9"/>
    </row>
    <row r="363" spans="3:16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47"/>
      <c r="O363" s="9"/>
      <c r="P363" s="9"/>
    </row>
    <row r="364" spans="3:16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47"/>
      <c r="O364" s="9"/>
      <c r="P364" s="9"/>
    </row>
    <row r="365" spans="3:16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47"/>
      <c r="O365" s="9"/>
      <c r="P365" s="9"/>
    </row>
    <row r="366" spans="3:1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47"/>
      <c r="O366" s="9"/>
      <c r="P366" s="9"/>
    </row>
    <row r="367" spans="3:16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47"/>
      <c r="O367" s="9"/>
      <c r="P367" s="9"/>
    </row>
    <row r="368" spans="3:16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47"/>
      <c r="O368" s="9"/>
      <c r="P368" s="9"/>
    </row>
    <row r="369" spans="3:16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47"/>
      <c r="O369" s="9"/>
      <c r="P369" s="9"/>
    </row>
    <row r="370" spans="3:16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47"/>
      <c r="O370" s="9"/>
      <c r="P370" s="9"/>
    </row>
    <row r="371" spans="3:16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47"/>
      <c r="O371" s="9"/>
      <c r="P371" s="9"/>
    </row>
    <row r="372" spans="3:16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47"/>
      <c r="O372" s="9"/>
      <c r="P372" s="9"/>
    </row>
    <row r="373" spans="3:16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47"/>
      <c r="O373" s="9"/>
      <c r="P373" s="9"/>
    </row>
    <row r="374" spans="3:16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47"/>
      <c r="O374" s="9"/>
      <c r="P374" s="9"/>
    </row>
    <row r="375" spans="3:16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47"/>
      <c r="O375" s="9"/>
      <c r="P375" s="9"/>
    </row>
    <row r="376" spans="3:1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47"/>
      <c r="O376" s="9"/>
      <c r="P376" s="9"/>
    </row>
    <row r="377" spans="3:16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47"/>
      <c r="O377" s="9"/>
      <c r="P377" s="9"/>
    </row>
    <row r="378" spans="3:16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47"/>
      <c r="O378" s="9"/>
      <c r="P378" s="9"/>
    </row>
    <row r="379" spans="3:16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47"/>
      <c r="O379" s="9"/>
      <c r="P379" s="9"/>
    </row>
    <row r="380" spans="3:16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47"/>
      <c r="O380" s="9"/>
      <c r="P380" s="9"/>
    </row>
    <row r="381" spans="3:16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47"/>
      <c r="O381" s="9"/>
      <c r="P381" s="9"/>
    </row>
    <row r="382" spans="3:16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47"/>
      <c r="O382" s="9"/>
      <c r="P382" s="9"/>
    </row>
    <row r="383" spans="3:16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47"/>
      <c r="O383" s="9"/>
      <c r="P383" s="9"/>
    </row>
    <row r="384" spans="3:16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47"/>
      <c r="O384" s="9"/>
      <c r="P384" s="9"/>
    </row>
    <row r="385" spans="3:16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47"/>
      <c r="O385" s="9"/>
      <c r="P385" s="9"/>
    </row>
    <row r="386" spans="3:1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47"/>
      <c r="O386" s="9"/>
      <c r="P386" s="9"/>
    </row>
    <row r="387" spans="3:16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47"/>
      <c r="O387" s="9"/>
      <c r="P387" s="9"/>
    </row>
    <row r="388" spans="3:16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47"/>
      <c r="O388" s="9"/>
      <c r="P388" s="9"/>
    </row>
    <row r="389" spans="3:16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47"/>
      <c r="O389" s="9"/>
      <c r="P389" s="9"/>
    </row>
    <row r="390" spans="3:16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47"/>
      <c r="O390" s="9"/>
      <c r="P390" s="9"/>
    </row>
    <row r="391" spans="3:16">
      <c r="O391" s="9"/>
      <c r="P391" s="9"/>
    </row>
    <row r="392" spans="3:16">
      <c r="O392" s="9"/>
      <c r="P392" s="9"/>
    </row>
    <row r="393" spans="3:16">
      <c r="O393" s="9"/>
      <c r="P393" s="9"/>
    </row>
    <row r="394" spans="3:16">
      <c r="O394" s="9"/>
      <c r="P394" s="9"/>
    </row>
    <row r="395" spans="3:16">
      <c r="O395" s="9"/>
      <c r="P395" s="9"/>
    </row>
    <row r="396" spans="3:16">
      <c r="O396" s="9"/>
      <c r="P396" s="9"/>
    </row>
    <row r="397" spans="3:16">
      <c r="O397" s="9"/>
      <c r="P397" s="9"/>
    </row>
    <row r="398" spans="3:16">
      <c r="O398" s="9"/>
      <c r="P398" s="9"/>
    </row>
    <row r="399" spans="3:16">
      <c r="O399" s="9"/>
      <c r="P399" s="9"/>
    </row>
    <row r="400" spans="3:16">
      <c r="O400" s="9"/>
      <c r="P400" s="9"/>
    </row>
    <row r="401" spans="15:16">
      <c r="O401" s="9"/>
      <c r="P401" s="9"/>
    </row>
    <row r="402" spans="15:16">
      <c r="O402" s="9"/>
      <c r="P402" s="9"/>
    </row>
    <row r="403" spans="15:16">
      <c r="O403" s="9"/>
      <c r="P403" s="9"/>
    </row>
    <row r="404" spans="15:16">
      <c r="O404" s="9"/>
      <c r="P404" s="9"/>
    </row>
    <row r="405" spans="15:16">
      <c r="O405" s="9"/>
      <c r="P405" s="9"/>
    </row>
    <row r="406" spans="15:16">
      <c r="O406" s="9"/>
      <c r="P406" s="9"/>
    </row>
    <row r="407" spans="15:16">
      <c r="O407" s="9"/>
      <c r="P407" s="9"/>
    </row>
    <row r="408" spans="15:16">
      <c r="O408" s="9"/>
      <c r="P408" s="9"/>
    </row>
    <row r="409" spans="15:16">
      <c r="O409" s="9"/>
      <c r="P409" s="9"/>
    </row>
    <row r="410" spans="15:16">
      <c r="O410" s="9"/>
      <c r="P410" s="9"/>
    </row>
    <row r="411" spans="15:16">
      <c r="O411" s="9"/>
      <c r="P411" s="9"/>
    </row>
    <row r="412" spans="15:16">
      <c r="O412" s="9"/>
      <c r="P412" s="9"/>
    </row>
    <row r="413" spans="15:16">
      <c r="O413" s="9"/>
      <c r="P413" s="9"/>
    </row>
    <row r="414" spans="15:16">
      <c r="O414" s="9"/>
      <c r="P414" s="9"/>
    </row>
    <row r="415" spans="15:16">
      <c r="O415" s="9"/>
      <c r="P415" s="9"/>
    </row>
    <row r="416" spans="15:16">
      <c r="O416" s="9"/>
      <c r="P416" s="9"/>
    </row>
    <row r="417" spans="15:16">
      <c r="O417" s="9"/>
      <c r="P417" s="9"/>
    </row>
    <row r="418" spans="15:16">
      <c r="O418" s="9"/>
      <c r="P418" s="9"/>
    </row>
    <row r="419" spans="15:16">
      <c r="O419" s="9"/>
      <c r="P419" s="9"/>
    </row>
    <row r="420" spans="15:16">
      <c r="O420" s="9"/>
      <c r="P420" s="9"/>
    </row>
    <row r="421" spans="15:16">
      <c r="O421" s="9"/>
      <c r="P421" s="9"/>
    </row>
    <row r="422" spans="15:16">
      <c r="O422" s="9"/>
      <c r="P422" s="9"/>
    </row>
    <row r="423" spans="15:16">
      <c r="O423" s="9"/>
      <c r="P423" s="9"/>
    </row>
    <row r="424" spans="15:16">
      <c r="O424" s="9"/>
      <c r="P424" s="9"/>
    </row>
    <row r="425" spans="15:16">
      <c r="O425" s="9"/>
      <c r="P425" s="9"/>
    </row>
    <row r="426" spans="15:16">
      <c r="O426" s="9"/>
      <c r="P426" s="9"/>
    </row>
    <row r="427" spans="15:16">
      <c r="O427" s="9"/>
      <c r="P427" s="9"/>
    </row>
    <row r="428" spans="15:16">
      <c r="O428" s="9"/>
      <c r="P428" s="9"/>
    </row>
    <row r="429" spans="15:16">
      <c r="O429" s="9"/>
      <c r="P429" s="9"/>
    </row>
    <row r="430" spans="15:16">
      <c r="O430" s="9"/>
      <c r="P430" s="9"/>
    </row>
    <row r="431" spans="15:16">
      <c r="O431" s="9"/>
      <c r="P431" s="9"/>
    </row>
    <row r="432" spans="15:16">
      <c r="O432" s="9"/>
      <c r="P432" s="9"/>
    </row>
    <row r="433" spans="15:16">
      <c r="O433" s="9"/>
      <c r="P433" s="9"/>
    </row>
    <row r="434" spans="15:16">
      <c r="O434" s="9"/>
      <c r="P434" s="9"/>
    </row>
    <row r="435" spans="15:16">
      <c r="O435" s="9"/>
      <c r="P435" s="9"/>
    </row>
    <row r="436" spans="15:16">
      <c r="O436" s="9"/>
      <c r="P436" s="9"/>
    </row>
    <row r="437" spans="15:16">
      <c r="O437" s="9"/>
      <c r="P437" s="9"/>
    </row>
    <row r="438" spans="15:16">
      <c r="O438" s="9"/>
      <c r="P438" s="9"/>
    </row>
    <row r="439" spans="15:16">
      <c r="O439" s="9"/>
      <c r="P439" s="9"/>
    </row>
    <row r="440" spans="15:16">
      <c r="O440" s="9"/>
      <c r="P440" s="9"/>
    </row>
    <row r="441" spans="15:16">
      <c r="O441" s="9"/>
      <c r="P441" s="9"/>
    </row>
    <row r="442" spans="15:16">
      <c r="O442" s="9"/>
      <c r="P442" s="9"/>
    </row>
    <row r="443" spans="15:16">
      <c r="O443" s="9"/>
      <c r="P443" s="9"/>
    </row>
    <row r="444" spans="15:16">
      <c r="O444" s="9"/>
      <c r="P444" s="9"/>
    </row>
    <row r="445" spans="15:16">
      <c r="O445" s="9"/>
      <c r="P445" s="9"/>
    </row>
    <row r="446" spans="15:16">
      <c r="O446" s="9"/>
      <c r="P446" s="9"/>
    </row>
    <row r="447" spans="15:16">
      <c r="O447" s="9"/>
      <c r="P447" s="9"/>
    </row>
    <row r="448" spans="15:16">
      <c r="O448" s="9"/>
      <c r="P448" s="9"/>
    </row>
    <row r="449" spans="15:16">
      <c r="O449" s="9"/>
      <c r="P449" s="9"/>
    </row>
    <row r="450" spans="15:16">
      <c r="O450" s="9"/>
      <c r="P450" s="9"/>
    </row>
    <row r="451" spans="15:16">
      <c r="O451" s="9"/>
      <c r="P451" s="9"/>
    </row>
    <row r="452" spans="15:16">
      <c r="O452" s="9"/>
      <c r="P452" s="9"/>
    </row>
    <row r="453" spans="15:16">
      <c r="O453" s="9"/>
      <c r="P453" s="9"/>
    </row>
    <row r="454" spans="15:16">
      <c r="O454" s="9"/>
      <c r="P454" s="9"/>
    </row>
    <row r="455" spans="15:16">
      <c r="O455" s="9"/>
      <c r="P455" s="9"/>
    </row>
    <row r="456" spans="15:16">
      <c r="O456" s="9"/>
      <c r="P456" s="9"/>
    </row>
    <row r="457" spans="15:16">
      <c r="O457" s="9"/>
      <c r="P457" s="9"/>
    </row>
    <row r="458" spans="15:16">
      <c r="O458" s="9"/>
      <c r="P458" s="9"/>
    </row>
    <row r="459" spans="15:16">
      <c r="O459" s="9"/>
      <c r="P459" s="9"/>
    </row>
    <row r="460" spans="15:16">
      <c r="O460" s="9"/>
      <c r="P460" s="9"/>
    </row>
    <row r="461" spans="15:16">
      <c r="O461" s="9"/>
      <c r="P461" s="9"/>
    </row>
    <row r="462" spans="15:16">
      <c r="O462" s="9"/>
      <c r="P462" s="9"/>
    </row>
    <row r="463" spans="15:16">
      <c r="O463" s="9"/>
      <c r="P463" s="9"/>
    </row>
    <row r="464" spans="15:16">
      <c r="O464" s="9"/>
      <c r="P464" s="9"/>
    </row>
    <row r="465" spans="15:16">
      <c r="O465" s="9"/>
      <c r="P465" s="9"/>
    </row>
    <row r="466" spans="15:16">
      <c r="O466" s="9"/>
      <c r="P466" s="9"/>
    </row>
    <row r="467" spans="15:16">
      <c r="O467" s="9"/>
      <c r="P467" s="9"/>
    </row>
    <row r="468" spans="15:16">
      <c r="O468" s="9"/>
      <c r="P468" s="9"/>
    </row>
    <row r="469" spans="15:16">
      <c r="O469" s="9"/>
      <c r="P469" s="9"/>
    </row>
    <row r="470" spans="15:16">
      <c r="O470" s="9"/>
      <c r="P470" s="9"/>
    </row>
    <row r="471" spans="15:16">
      <c r="O471" s="9"/>
      <c r="P471" s="9"/>
    </row>
    <row r="472" spans="15:16">
      <c r="O472" s="9"/>
      <c r="P472" s="9"/>
    </row>
    <row r="473" spans="15:16">
      <c r="O473" s="9"/>
      <c r="P473" s="9"/>
    </row>
    <row r="474" spans="15:16">
      <c r="O474" s="9"/>
      <c r="P474" s="9"/>
    </row>
    <row r="475" spans="15:16">
      <c r="O475" s="9"/>
      <c r="P475" s="9"/>
    </row>
    <row r="476" spans="15:16">
      <c r="O476" s="9"/>
      <c r="P476" s="9"/>
    </row>
    <row r="477" spans="15:16">
      <c r="O477" s="9"/>
      <c r="P477" s="9"/>
    </row>
    <row r="478" spans="15:16">
      <c r="O478" s="9"/>
      <c r="P478" s="9"/>
    </row>
    <row r="479" spans="15:16">
      <c r="O479" s="9"/>
      <c r="P479" s="9"/>
    </row>
    <row r="480" spans="15:16">
      <c r="O480" s="9"/>
      <c r="P480" s="9"/>
    </row>
    <row r="481" spans="15:16">
      <c r="O481" s="9"/>
      <c r="P481" s="9"/>
    </row>
    <row r="482" spans="15:16">
      <c r="O482" s="9"/>
      <c r="P482" s="9"/>
    </row>
    <row r="483" spans="15:16">
      <c r="O483" s="9"/>
      <c r="P483" s="9"/>
    </row>
    <row r="484" spans="15:16">
      <c r="O484" s="9"/>
      <c r="P484" s="9"/>
    </row>
    <row r="485" spans="15:16">
      <c r="O485" s="9"/>
      <c r="P485" s="9"/>
    </row>
    <row r="486" spans="15:16">
      <c r="O486" s="9"/>
      <c r="P486" s="9"/>
    </row>
    <row r="487" spans="15:16">
      <c r="O487" s="9"/>
      <c r="P487" s="9"/>
    </row>
    <row r="488" spans="15:16">
      <c r="O488" s="9"/>
      <c r="P488" s="9"/>
    </row>
    <row r="489" spans="15:16">
      <c r="O489" s="9"/>
      <c r="P489" s="9"/>
    </row>
    <row r="490" spans="15:16">
      <c r="O490" s="9"/>
      <c r="P490" s="9"/>
    </row>
    <row r="491" spans="15:16">
      <c r="O491" s="9"/>
      <c r="P491" s="9"/>
    </row>
    <row r="492" spans="15:16">
      <c r="O492" s="9"/>
      <c r="P492" s="9"/>
    </row>
    <row r="493" spans="15:16">
      <c r="O493" s="9"/>
      <c r="P493" s="9"/>
    </row>
    <row r="494" spans="15:16">
      <c r="O494" s="9"/>
      <c r="P494" s="9"/>
    </row>
    <row r="495" spans="15:16">
      <c r="O495" s="9"/>
      <c r="P495" s="9"/>
    </row>
    <row r="496" spans="15:16">
      <c r="O496" s="9"/>
      <c r="P496" s="9"/>
    </row>
    <row r="497" spans="15:16">
      <c r="O497" s="9"/>
      <c r="P497" s="9"/>
    </row>
    <row r="498" spans="15:16">
      <c r="O498" s="9"/>
      <c r="P498" s="9"/>
    </row>
    <row r="499" spans="15:16">
      <c r="O499" s="9"/>
      <c r="P499" s="9"/>
    </row>
    <row r="500" spans="15:16">
      <c r="O500" s="9"/>
      <c r="P500" s="9"/>
    </row>
    <row r="501" spans="15:16">
      <c r="O501" s="9"/>
      <c r="P501" s="9"/>
    </row>
    <row r="502" spans="15:16">
      <c r="O502" s="9"/>
      <c r="P502" s="9"/>
    </row>
    <row r="503" spans="15:16">
      <c r="O503" s="9"/>
      <c r="P503" s="9"/>
    </row>
    <row r="504" spans="15:16">
      <c r="O504" s="9"/>
      <c r="P504" s="9"/>
    </row>
    <row r="505" spans="15:16">
      <c r="O505" s="9"/>
      <c r="P505" s="9"/>
    </row>
    <row r="506" spans="15:16">
      <c r="O506" s="9"/>
      <c r="P506" s="9"/>
    </row>
    <row r="507" spans="15:16">
      <c r="O507" s="9"/>
      <c r="P507" s="9"/>
    </row>
    <row r="508" spans="15:16">
      <c r="O508" s="9"/>
      <c r="P508" s="9"/>
    </row>
    <row r="509" spans="15:16">
      <c r="O509" s="9"/>
      <c r="P509" s="9"/>
    </row>
    <row r="510" spans="15:16">
      <c r="O510" s="9"/>
      <c r="P510" s="9"/>
    </row>
    <row r="511" spans="15:16">
      <c r="O511" s="9"/>
      <c r="P511" s="9"/>
    </row>
    <row r="512" spans="15:16">
      <c r="O512" s="9"/>
      <c r="P512" s="9"/>
    </row>
    <row r="513" spans="15:16">
      <c r="O513" s="9"/>
      <c r="P513" s="9"/>
    </row>
    <row r="514" spans="15:16">
      <c r="O514" s="9"/>
      <c r="P514" s="9"/>
    </row>
    <row r="515" spans="15:16">
      <c r="O515" s="9"/>
      <c r="P515" s="9"/>
    </row>
    <row r="516" spans="15:16">
      <c r="O516" s="9"/>
      <c r="P516" s="9"/>
    </row>
    <row r="517" spans="15:16">
      <c r="O517" s="9"/>
      <c r="P517" s="9"/>
    </row>
    <row r="518" spans="15:16">
      <c r="O518" s="9"/>
      <c r="P518" s="9"/>
    </row>
    <row r="519" spans="15:16">
      <c r="O519" s="9"/>
      <c r="P519" s="9"/>
    </row>
    <row r="520" spans="15:16">
      <c r="O520" s="9"/>
      <c r="P520" s="9"/>
    </row>
    <row r="521" spans="15:16">
      <c r="O521" s="9"/>
      <c r="P521" s="9"/>
    </row>
    <row r="522" spans="15:16">
      <c r="O522" s="9"/>
      <c r="P522" s="9"/>
    </row>
    <row r="523" spans="15:16">
      <c r="O523" s="9"/>
      <c r="P523" s="9"/>
    </row>
    <row r="524" spans="15:16">
      <c r="O524" s="9"/>
      <c r="P524" s="9"/>
    </row>
    <row r="525" spans="15:16">
      <c r="O525" s="9"/>
      <c r="P525" s="9"/>
    </row>
    <row r="526" spans="15:16">
      <c r="O526" s="9"/>
      <c r="P526" s="9"/>
    </row>
    <row r="527" spans="15:16">
      <c r="O527" s="9"/>
      <c r="P527" s="9"/>
    </row>
    <row r="528" spans="15:16">
      <c r="O528" s="9"/>
      <c r="P528" s="9"/>
    </row>
    <row r="529" spans="15:16">
      <c r="O529" s="9"/>
      <c r="P529" s="9"/>
    </row>
    <row r="530" spans="15:16">
      <c r="O530" s="9"/>
      <c r="P530" s="9"/>
    </row>
    <row r="531" spans="15:16">
      <c r="O531" s="9"/>
      <c r="P531" s="9"/>
    </row>
    <row r="532" spans="15:16">
      <c r="O532" s="9"/>
      <c r="P532" s="9"/>
    </row>
    <row r="533" spans="15:16">
      <c r="O533" s="9"/>
      <c r="P533" s="9"/>
    </row>
    <row r="534" spans="15:16">
      <c r="O534" s="9"/>
      <c r="P534" s="9"/>
    </row>
    <row r="535" spans="15:16">
      <c r="O535" s="9"/>
      <c r="P535" s="9"/>
    </row>
    <row r="536" spans="15:16">
      <c r="O536" s="9"/>
      <c r="P536" s="9"/>
    </row>
    <row r="537" spans="15:16">
      <c r="O537" s="9"/>
      <c r="P537" s="9"/>
    </row>
    <row r="538" spans="15:16">
      <c r="O538" s="9"/>
      <c r="P538" s="9"/>
    </row>
    <row r="539" spans="15:16">
      <c r="O539" s="9"/>
      <c r="P539" s="9"/>
    </row>
    <row r="540" spans="15:16">
      <c r="O540" s="9"/>
      <c r="P540" s="9"/>
    </row>
    <row r="541" spans="15:16">
      <c r="O541" s="9"/>
      <c r="P541" s="9"/>
    </row>
    <row r="542" spans="15:16">
      <c r="O542" s="9"/>
      <c r="P542" s="9"/>
    </row>
    <row r="543" spans="15:16">
      <c r="O543" s="9"/>
      <c r="P543" s="9"/>
    </row>
    <row r="544" spans="15:16">
      <c r="O544" s="9"/>
      <c r="P544" s="9"/>
    </row>
    <row r="545" spans="15:16">
      <c r="O545" s="9"/>
      <c r="P545" s="9"/>
    </row>
    <row r="546" spans="15:16">
      <c r="O546" s="9"/>
      <c r="P546" s="9"/>
    </row>
    <row r="547" spans="15:16">
      <c r="O547" s="9"/>
      <c r="P547" s="9"/>
    </row>
    <row r="548" spans="15:16">
      <c r="O548" s="9"/>
      <c r="P548" s="9"/>
    </row>
    <row r="549" spans="15:16">
      <c r="O549" s="9"/>
      <c r="P549" s="9"/>
    </row>
    <row r="550" spans="15:16">
      <c r="O550" s="9"/>
      <c r="P550" s="9"/>
    </row>
    <row r="551" spans="15:16">
      <c r="O551" s="9"/>
      <c r="P551" s="9"/>
    </row>
    <row r="552" spans="15:16">
      <c r="O552" s="9"/>
      <c r="P552" s="9"/>
    </row>
    <row r="553" spans="15:16">
      <c r="O553" s="9"/>
      <c r="P553" s="9"/>
    </row>
    <row r="554" spans="15:16">
      <c r="O554" s="9"/>
      <c r="P554" s="9"/>
    </row>
    <row r="555" spans="15:16">
      <c r="O555" s="9"/>
      <c r="P555" s="9"/>
    </row>
    <row r="556" spans="15:16">
      <c r="O556" s="9"/>
      <c r="P556" s="9"/>
    </row>
    <row r="557" spans="15:16">
      <c r="O557" s="9"/>
      <c r="P557" s="9"/>
    </row>
    <row r="558" spans="15:16">
      <c r="O558" s="9"/>
      <c r="P558" s="9"/>
    </row>
    <row r="559" spans="15:16">
      <c r="O559" s="9"/>
      <c r="P559" s="9"/>
    </row>
    <row r="560" spans="15:16">
      <c r="O560" s="9"/>
      <c r="P560" s="9"/>
    </row>
    <row r="561" spans="15:16">
      <c r="O561" s="9"/>
      <c r="P561" s="9"/>
    </row>
    <row r="562" spans="15:16">
      <c r="O562" s="9"/>
      <c r="P562" s="9"/>
    </row>
    <row r="563" spans="15:16">
      <c r="O563" s="9"/>
      <c r="P563" s="9"/>
    </row>
    <row r="564" spans="15:16">
      <c r="O564" s="9"/>
      <c r="P564" s="9"/>
    </row>
    <row r="565" spans="15:16">
      <c r="O565" s="9"/>
      <c r="P565" s="9"/>
    </row>
    <row r="566" spans="15:16">
      <c r="O566" s="9"/>
      <c r="P566" s="9"/>
    </row>
    <row r="567" spans="15:16">
      <c r="O567" s="9"/>
      <c r="P567" s="9"/>
    </row>
    <row r="568" spans="15:16">
      <c r="O568" s="9"/>
      <c r="P568" s="9"/>
    </row>
    <row r="569" spans="15:16">
      <c r="O569" s="9"/>
      <c r="P569" s="9"/>
    </row>
    <row r="570" spans="15:16">
      <c r="O570" s="9"/>
      <c r="P570" s="9"/>
    </row>
    <row r="571" spans="15:16">
      <c r="O571" s="9"/>
      <c r="P571" s="9"/>
    </row>
    <row r="572" spans="15:16">
      <c r="O572" s="9"/>
      <c r="P572" s="9"/>
    </row>
    <row r="573" spans="15:16">
      <c r="O573" s="9"/>
      <c r="P573" s="9"/>
    </row>
    <row r="574" spans="15:16">
      <c r="O574" s="9"/>
      <c r="P574" s="9"/>
    </row>
    <row r="575" spans="15:16">
      <c r="O575" s="9"/>
      <c r="P575" s="9"/>
    </row>
    <row r="576" spans="15:16">
      <c r="O576" s="9"/>
      <c r="P576" s="9"/>
    </row>
    <row r="577" spans="15:16">
      <c r="O577" s="9"/>
      <c r="P577" s="9"/>
    </row>
    <row r="578" spans="15:16">
      <c r="O578" s="9"/>
      <c r="P578" s="9"/>
    </row>
    <row r="579" spans="15:16">
      <c r="O579" s="9"/>
      <c r="P579" s="9"/>
    </row>
    <row r="580" spans="15:16">
      <c r="O580" s="9"/>
      <c r="P580" s="9"/>
    </row>
    <row r="581" spans="15:16">
      <c r="O581" s="9"/>
      <c r="P581" s="9"/>
    </row>
    <row r="582" spans="15:16">
      <c r="O582" s="9"/>
      <c r="P582" s="9"/>
    </row>
    <row r="583" spans="15:16">
      <c r="O583" s="9"/>
      <c r="P583" s="9"/>
    </row>
    <row r="584" spans="15:16">
      <c r="O584" s="9"/>
      <c r="P584" s="9"/>
    </row>
    <row r="585" spans="15:16">
      <c r="O585" s="9"/>
      <c r="P585" s="9"/>
    </row>
    <row r="586" spans="15:16">
      <c r="O586" s="9"/>
      <c r="P586" s="9"/>
    </row>
    <row r="587" spans="15:16">
      <c r="O587" s="9"/>
      <c r="P587" s="9"/>
    </row>
    <row r="588" spans="15:16">
      <c r="O588" s="9"/>
      <c r="P588" s="9"/>
    </row>
    <row r="589" spans="15:16">
      <c r="O589" s="9"/>
      <c r="P589" s="9"/>
    </row>
    <row r="590" spans="15:16">
      <c r="O590" s="9"/>
      <c r="P590" s="9"/>
    </row>
    <row r="591" spans="15:16">
      <c r="O591" s="9"/>
      <c r="P591" s="9"/>
    </row>
    <row r="592" spans="15:16">
      <c r="O592" s="9"/>
      <c r="P592" s="9"/>
    </row>
    <row r="593" spans="15:16">
      <c r="O593" s="9"/>
      <c r="P593" s="9"/>
    </row>
  </sheetData>
  <mergeCells count="4">
    <mergeCell ref="A1:P1"/>
    <mergeCell ref="A2:P2"/>
    <mergeCell ref="A3:P3"/>
    <mergeCell ref="A4:P4"/>
  </mergeCells>
  <phoneticPr fontId="16" type="noConversion"/>
  <pageMargins left="0.6692913385826772" right="0.6692913385826772" top="0.74803149606299213" bottom="0.94" header="0.51181102362204722" footer="0.51181102362204722"/>
  <pageSetup paperSize="9" scale="98" orientation="portrait" r:id="rId1"/>
  <headerFooter alignWithMargins="0"/>
  <rowBreaks count="2" manualBreakCount="2">
    <brk id="55" max="14" man="1"/>
    <brk id="104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42"/>
  <sheetViews>
    <sheetView view="pageBreakPreview" zoomScale="115" zoomScaleSheetLayoutView="115" workbookViewId="0">
      <pane ySplit="5" topLeftCell="A6" activePane="bottomLeft" state="frozen"/>
      <selection pane="bottomLeft" activeCell="R96" sqref="R96"/>
    </sheetView>
  </sheetViews>
  <sheetFormatPr defaultRowHeight="12.75"/>
  <cols>
    <col min="1" max="1" width="18.42578125" style="3" customWidth="1"/>
    <col min="2" max="2" width="2" style="3" customWidth="1"/>
    <col min="3" max="3" width="6.7109375" style="3" hidden="1" customWidth="1"/>
    <col min="4" max="8" width="7.85546875" style="3" hidden="1" customWidth="1"/>
    <col min="9" max="13" width="7.85546875" style="3" customWidth="1"/>
    <col min="14" max="14" width="7.85546875" style="69" customWidth="1"/>
    <col min="15" max="15" width="1.85546875" style="3" customWidth="1"/>
    <col min="16" max="16" width="18.28515625" style="3" customWidth="1"/>
    <col min="17" max="17" width="11.140625" style="3" customWidth="1"/>
    <col min="18" max="19" width="20.7109375" style="94" customWidth="1"/>
    <col min="20" max="20" width="20.85546875" style="94" customWidth="1"/>
    <col min="21" max="24" width="9.140625" style="94" customWidth="1"/>
    <col min="25" max="25" width="10.140625" style="94" customWidth="1"/>
    <col min="26" max="33" width="9.140625" style="94" customWidth="1"/>
    <col min="34" max="16384" width="9.140625" style="94"/>
  </cols>
  <sheetData>
    <row r="1" spans="1:19" s="1" customFormat="1" ht="12.95" customHeight="1">
      <c r="A1" s="314" t="s">
        <v>135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9" s="128" customFormat="1" ht="17.100000000000001" customHeight="1">
      <c r="A2" s="322" t="s">
        <v>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2"/>
    </row>
    <row r="3" spans="1:19" ht="12.95" customHeight="1">
      <c r="A3" s="316" t="s">
        <v>171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9" ht="12.9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9" s="6" customFormat="1" ht="19.5" customHeight="1" thickBot="1">
      <c r="A5" s="184" t="s">
        <v>1</v>
      </c>
      <c r="B5" s="185"/>
      <c r="C5" s="186">
        <v>2001</v>
      </c>
      <c r="D5" s="187">
        <v>2003</v>
      </c>
      <c r="E5" s="187">
        <v>2004</v>
      </c>
      <c r="F5" s="187">
        <v>2005</v>
      </c>
      <c r="G5" s="187">
        <v>2006</v>
      </c>
      <c r="H5" s="187">
        <v>2007</v>
      </c>
      <c r="I5" s="187">
        <v>2008</v>
      </c>
      <c r="J5" s="187">
        <v>2009</v>
      </c>
      <c r="K5" s="187">
        <v>2010</v>
      </c>
      <c r="L5" s="187">
        <v>2011</v>
      </c>
      <c r="M5" s="187">
        <v>2012</v>
      </c>
      <c r="N5" s="187">
        <v>2013</v>
      </c>
      <c r="O5" s="185"/>
      <c r="P5" s="186" t="s">
        <v>2</v>
      </c>
      <c r="Q5" s="4"/>
    </row>
    <row r="6" spans="1:19" s="6" customFormat="1">
      <c r="A6" s="150"/>
      <c r="B6" s="188" t="s">
        <v>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73" t="s">
        <v>4</v>
      </c>
      <c r="P6" s="150"/>
      <c r="Q6" s="5"/>
    </row>
    <row r="7" spans="1:19" s="6" customFormat="1" ht="20.45" customHeight="1">
      <c r="A7" s="165" t="s">
        <v>116</v>
      </c>
      <c r="B7" s="188" t="s">
        <v>144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73" t="s">
        <v>145</v>
      </c>
      <c r="P7" s="189" t="s">
        <v>82</v>
      </c>
    </row>
    <row r="8" spans="1:19" s="6" customFormat="1" ht="12.2" customHeight="1">
      <c r="A8" s="260" t="s">
        <v>24</v>
      </c>
      <c r="B8" s="245"/>
      <c r="C8" s="195">
        <v>85.300000000000125</v>
      </c>
      <c r="D8" s="195"/>
      <c r="E8" s="75">
        <f>E9+E11</f>
        <v>3418.1</v>
      </c>
      <c r="F8" s="75">
        <f t="shared" ref="F8:L8" si="0">SUM(F9:F11)</f>
        <v>554.30000000000018</v>
      </c>
      <c r="G8" s="75">
        <f t="shared" si="0"/>
        <v>822.50000000000011</v>
      </c>
      <c r="H8" s="75">
        <f t="shared" si="0"/>
        <v>1092.8999999999999</v>
      </c>
      <c r="I8" s="75">
        <f t="shared" si="0"/>
        <v>848.59999999999991</v>
      </c>
      <c r="J8" s="75">
        <f t="shared" si="0"/>
        <v>210.60000000000014</v>
      </c>
      <c r="K8" s="75">
        <f t="shared" si="0"/>
        <v>290.09999999999991</v>
      </c>
      <c r="L8" s="75">
        <f t="shared" si="0"/>
        <v>1220.9000000000003</v>
      </c>
      <c r="M8" s="75">
        <v>835.4</v>
      </c>
      <c r="N8" s="75">
        <v>962.6</v>
      </c>
      <c r="O8" s="150"/>
      <c r="P8" s="234" t="s">
        <v>25</v>
      </c>
      <c r="R8" s="129"/>
    </row>
    <row r="9" spans="1:19" s="6" customFormat="1" ht="12.2" customHeight="1">
      <c r="A9" s="260" t="s">
        <v>189</v>
      </c>
      <c r="B9" s="245"/>
      <c r="C9" s="195">
        <v>1267.5999999999999</v>
      </c>
      <c r="D9" s="195"/>
      <c r="E9" s="75">
        <v>-516</v>
      </c>
      <c r="F9" s="75">
        <f>555.7+613.6</f>
        <v>1169.3000000000002</v>
      </c>
      <c r="G9" s="75">
        <f>897.2+645.6</f>
        <v>1542.8000000000002</v>
      </c>
      <c r="H9" s="75">
        <f>1077.1+685.6</f>
        <v>1762.6999999999998</v>
      </c>
      <c r="I9" s="75">
        <f>1220.1+643</f>
        <v>1863.1</v>
      </c>
      <c r="J9" s="75">
        <f>917+718.9</f>
        <v>1635.9</v>
      </c>
      <c r="K9" s="75">
        <f>SUM(993.7 + 805.4)</f>
        <v>1799.1</v>
      </c>
      <c r="L9" s="75">
        <f>2932.9+474.3</f>
        <v>3407.2000000000003</v>
      </c>
      <c r="M9" s="75">
        <f>2555+503</f>
        <v>3058</v>
      </c>
      <c r="N9" s="75">
        <f>2853.6+534.7</f>
        <v>3388.3</v>
      </c>
      <c r="O9" s="150"/>
      <c r="P9" s="261" t="s">
        <v>58</v>
      </c>
    </row>
    <row r="10" spans="1:19" s="6" customFormat="1" ht="12.2" customHeight="1">
      <c r="A10" s="260" t="s">
        <v>56</v>
      </c>
      <c r="B10" s="245"/>
      <c r="C10" s="195">
        <v>-361.7</v>
      </c>
      <c r="D10" s="195"/>
      <c r="E10" s="75"/>
      <c r="F10" s="75">
        <v>-155</v>
      </c>
      <c r="G10" s="75">
        <v>-144.69999999999999</v>
      </c>
      <c r="H10" s="75">
        <v>-112.3</v>
      </c>
      <c r="I10" s="75">
        <v>-347.3</v>
      </c>
      <c r="J10" s="75">
        <v>-902.3</v>
      </c>
      <c r="K10" s="75">
        <v>-892</v>
      </c>
      <c r="L10" s="75">
        <v>-1415.5</v>
      </c>
      <c r="M10" s="75">
        <v>-1443</v>
      </c>
      <c r="N10" s="75">
        <v>-1611.3</v>
      </c>
      <c r="O10" s="150"/>
      <c r="P10" s="176" t="s">
        <v>59</v>
      </c>
    </row>
    <row r="11" spans="1:19" s="6" customFormat="1" ht="12.2" customHeight="1">
      <c r="A11" s="260" t="s">
        <v>57</v>
      </c>
      <c r="B11" s="245"/>
      <c r="C11" s="195">
        <v>989</v>
      </c>
      <c r="D11" s="195"/>
      <c r="E11" s="75">
        <v>3934.1</v>
      </c>
      <c r="F11" s="75">
        <v>-460</v>
      </c>
      <c r="G11" s="75">
        <v>-575.6</v>
      </c>
      <c r="H11" s="75">
        <v>-557.5</v>
      </c>
      <c r="I11" s="75">
        <v>-667.2</v>
      </c>
      <c r="J11" s="75">
        <v>-523</v>
      </c>
      <c r="K11" s="75">
        <v>-617</v>
      </c>
      <c r="L11" s="75">
        <v>-770.8</v>
      </c>
      <c r="M11" s="75">
        <v>-780</v>
      </c>
      <c r="N11" s="75">
        <v>-814.4</v>
      </c>
      <c r="O11" s="150"/>
      <c r="P11" s="176" t="s">
        <v>60</v>
      </c>
      <c r="R11" s="63"/>
      <c r="S11" s="63"/>
    </row>
    <row r="12" spans="1:19" s="6" customFormat="1" ht="12.2" customHeight="1">
      <c r="A12" s="260" t="s">
        <v>26</v>
      </c>
      <c r="B12" s="245"/>
      <c r="C12" s="195"/>
      <c r="D12" s="195"/>
      <c r="E12" s="75">
        <v>0</v>
      </c>
      <c r="F12" s="75">
        <v>18.8</v>
      </c>
      <c r="G12" s="75">
        <v>28.2</v>
      </c>
      <c r="H12" s="75">
        <v>18.8</v>
      </c>
      <c r="I12" s="75">
        <v>18.8</v>
      </c>
      <c r="J12" s="75">
        <v>18.8</v>
      </c>
      <c r="K12" s="75">
        <v>18.8</v>
      </c>
      <c r="L12" s="75">
        <v>28.6</v>
      </c>
      <c r="M12" s="75">
        <v>37.6</v>
      </c>
      <c r="N12" s="75">
        <v>37.6</v>
      </c>
      <c r="O12" s="150"/>
      <c r="P12" s="234" t="s">
        <v>27</v>
      </c>
    </row>
    <row r="13" spans="1:19" s="6" customFormat="1" ht="12.2" customHeight="1">
      <c r="A13" s="260" t="s">
        <v>28</v>
      </c>
      <c r="B13" s="245"/>
      <c r="C13" s="195">
        <v>-204</v>
      </c>
      <c r="D13" s="195"/>
      <c r="E13" s="75">
        <v>-5016.3999999999996</v>
      </c>
      <c r="F13" s="75">
        <v>-629.5</v>
      </c>
      <c r="G13" s="75">
        <v>-854.9</v>
      </c>
      <c r="H13" s="75">
        <v>-1115.4000000000001</v>
      </c>
      <c r="I13" s="75">
        <v>-856</v>
      </c>
      <c r="J13" s="75">
        <v>-204.7</v>
      </c>
      <c r="K13" s="75">
        <v>-349.6</v>
      </c>
      <c r="L13" s="75">
        <v>-1276.7</v>
      </c>
      <c r="M13" s="75">
        <v>-917.6</v>
      </c>
      <c r="N13" s="75">
        <v>-953.9</v>
      </c>
      <c r="O13" s="150"/>
      <c r="P13" s="234" t="s">
        <v>29</v>
      </c>
    </row>
    <row r="14" spans="1:19" s="6" customFormat="1" ht="12.2" customHeight="1">
      <c r="A14" s="260" t="s">
        <v>30</v>
      </c>
      <c r="B14" s="245"/>
      <c r="C14" s="195">
        <v>80.3</v>
      </c>
      <c r="D14" s="195"/>
      <c r="E14" s="75">
        <v>1439.9999999999995</v>
      </c>
      <c r="F14" s="75">
        <v>56.4</v>
      </c>
      <c r="G14" s="75">
        <v>4.2</v>
      </c>
      <c r="H14" s="75">
        <v>3.7</v>
      </c>
      <c r="I14" s="75">
        <v>-11.4</v>
      </c>
      <c r="J14" s="75">
        <v>-24.7</v>
      </c>
      <c r="K14" s="75">
        <v>40.299999999999997</v>
      </c>
      <c r="L14" s="75">
        <v>27.2</v>
      </c>
      <c r="M14" s="75">
        <v>44.5</v>
      </c>
      <c r="N14" s="75">
        <v>-46.3</v>
      </c>
      <c r="O14" s="150"/>
      <c r="P14" s="234" t="s">
        <v>31</v>
      </c>
    </row>
    <row r="15" spans="1:19" s="6" customFormat="1" ht="12.2" customHeight="1">
      <c r="A15" s="260" t="s">
        <v>279</v>
      </c>
      <c r="B15" s="245"/>
      <c r="C15" s="195"/>
      <c r="D15" s="195"/>
      <c r="E15" s="75"/>
      <c r="F15" s="75"/>
      <c r="G15" s="75"/>
      <c r="H15" s="75"/>
      <c r="I15" s="159">
        <f>-(I8+I12+I13+I14)</f>
        <v>1.3677947663381929E-13</v>
      </c>
      <c r="J15" s="159">
        <f t="shared" ref="J15:N15" si="1">-(J8+J12+J13+J14)</f>
        <v>-1.5987211554602254E-13</v>
      </c>
      <c r="K15" s="159">
        <f t="shared" si="1"/>
        <v>0.40000000000010516</v>
      </c>
      <c r="L15" s="159">
        <f t="shared" si="1"/>
        <v>-1.8118839761882555E-13</v>
      </c>
      <c r="M15" s="159">
        <f t="shared" si="1"/>
        <v>0.10000000000002274</v>
      </c>
      <c r="N15" s="159">
        <f t="shared" si="1"/>
        <v>-7.1054273576010019E-14</v>
      </c>
      <c r="O15" s="150"/>
      <c r="P15" s="234" t="s">
        <v>282</v>
      </c>
    </row>
    <row r="16" spans="1:19" s="6" customFormat="1" ht="12.2" customHeight="1">
      <c r="A16" s="150" t="s">
        <v>280</v>
      </c>
      <c r="B16" s="245"/>
      <c r="C16" s="195">
        <v>45.200000000000117</v>
      </c>
      <c r="D16" s="195"/>
      <c r="E16" s="75">
        <f t="shared" ref="E16:H16" si="2">E8+E12+E13+E14</f>
        <v>-158.30000000000018</v>
      </c>
      <c r="F16" s="75">
        <f t="shared" si="2"/>
        <v>1.3500311979441904E-13</v>
      </c>
      <c r="G16" s="75">
        <f t="shared" si="2"/>
        <v>1.8207657603852567E-13</v>
      </c>
      <c r="H16" s="75">
        <f t="shared" si="2"/>
        <v>-2.7267077484793845E-13</v>
      </c>
      <c r="I16" s="159">
        <f>SUM(I8,I12,I13,I14,I15)</f>
        <v>0</v>
      </c>
      <c r="J16" s="159">
        <f t="shared" ref="J16:N16" si="3">SUM(J8,J12,J13,J14,J15)</f>
        <v>0</v>
      </c>
      <c r="K16" s="159">
        <f t="shared" si="3"/>
        <v>0</v>
      </c>
      <c r="L16" s="159">
        <f t="shared" si="3"/>
        <v>0</v>
      </c>
      <c r="M16" s="159">
        <f t="shared" si="3"/>
        <v>0</v>
      </c>
      <c r="N16" s="159">
        <f t="shared" si="3"/>
        <v>0</v>
      </c>
      <c r="O16" s="75"/>
      <c r="P16" s="234" t="s">
        <v>281</v>
      </c>
    </row>
    <row r="17" spans="1:39" s="6" customFormat="1" ht="20.45" customHeight="1">
      <c r="A17" s="165" t="s">
        <v>109</v>
      </c>
      <c r="B17" s="188" t="s">
        <v>153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73" t="s">
        <v>154</v>
      </c>
      <c r="P17" s="189" t="s">
        <v>126</v>
      </c>
    </row>
    <row r="18" spans="1:39" s="6" customFormat="1" ht="12.2" customHeight="1">
      <c r="A18" s="260" t="s">
        <v>24</v>
      </c>
      <c r="B18" s="245"/>
      <c r="C18" s="195">
        <v>85.300000000000125</v>
      </c>
      <c r="D18" s="75">
        <f t="shared" ref="D18:H18" si="4">D19+D21</f>
        <v>1943.0000000000014</v>
      </c>
      <c r="E18" s="75">
        <f t="shared" si="4"/>
        <v>3418.1</v>
      </c>
      <c r="F18" s="75">
        <f t="shared" si="4"/>
        <v>2910.6000000000022</v>
      </c>
      <c r="G18" s="75">
        <f t="shared" si="4"/>
        <v>1751.8999999999987</v>
      </c>
      <c r="H18" s="75">
        <f t="shared" si="4"/>
        <v>2269.0000000000009</v>
      </c>
      <c r="I18" s="75">
        <v>888.30000000000291</v>
      </c>
      <c r="J18" s="75">
        <v>-4424.2999999999975</v>
      </c>
      <c r="K18" s="75">
        <v>-4317.5999999999985</v>
      </c>
      <c r="L18" s="75">
        <v>-6087.7999999999993</v>
      </c>
      <c r="M18" s="75">
        <v>-7928.3000000000029</v>
      </c>
      <c r="N18" s="75" t="s">
        <v>61</v>
      </c>
      <c r="O18" s="150"/>
      <c r="P18" s="234" t="s">
        <v>25</v>
      </c>
      <c r="R18" s="129"/>
    </row>
    <row r="19" spans="1:39" s="6" customFormat="1" ht="12.2" customHeight="1">
      <c r="A19" s="260" t="s">
        <v>189</v>
      </c>
      <c r="B19" s="245"/>
      <c r="C19" s="195">
        <v>1267.5999999999999</v>
      </c>
      <c r="D19" s="75">
        <v>-1666.2999999999984</v>
      </c>
      <c r="E19" s="75">
        <v>-516</v>
      </c>
      <c r="F19" s="75">
        <v>-2517.1999999999971</v>
      </c>
      <c r="G19" s="75">
        <v>-3795.2000000000007</v>
      </c>
      <c r="H19" s="75">
        <v>-4792.2999999999993</v>
      </c>
      <c r="I19" s="75">
        <v>-8449.2999999999975</v>
      </c>
      <c r="J19" s="75">
        <v>-12670.899999999998</v>
      </c>
      <c r="K19" s="75">
        <v>-14780.999999999998</v>
      </c>
      <c r="L19" s="75">
        <v>-19224.599999999999</v>
      </c>
      <c r="M19" s="75">
        <v>-26336.300000000003</v>
      </c>
      <c r="N19" s="75" t="s">
        <v>61</v>
      </c>
      <c r="O19" s="150"/>
      <c r="P19" s="261" t="s">
        <v>58</v>
      </c>
      <c r="R19" s="17"/>
      <c r="S19" s="17"/>
    </row>
    <row r="20" spans="1:39" s="6" customFormat="1" ht="12.2" customHeight="1">
      <c r="A20" s="260" t="s">
        <v>56</v>
      </c>
      <c r="B20" s="245"/>
      <c r="C20" s="195">
        <v>-361.7</v>
      </c>
      <c r="D20" s="200"/>
      <c r="E20" s="200"/>
      <c r="F20" s="200"/>
      <c r="G20" s="200"/>
      <c r="H20" s="200"/>
      <c r="I20" s="75" t="s">
        <v>61</v>
      </c>
      <c r="J20" s="75" t="s">
        <v>61</v>
      </c>
      <c r="K20" s="75" t="s">
        <v>61</v>
      </c>
      <c r="L20" s="75" t="s">
        <v>61</v>
      </c>
      <c r="M20" s="75" t="s">
        <v>61</v>
      </c>
      <c r="N20" s="75" t="s">
        <v>61</v>
      </c>
      <c r="O20" s="150"/>
      <c r="P20" s="176" t="s">
        <v>59</v>
      </c>
      <c r="R20" s="17"/>
      <c r="S20" s="17"/>
    </row>
    <row r="21" spans="1:39" s="6" customFormat="1" ht="12.2" customHeight="1">
      <c r="A21" s="260" t="s">
        <v>57</v>
      </c>
      <c r="B21" s="245"/>
      <c r="C21" s="195">
        <v>989</v>
      </c>
      <c r="D21" s="75">
        <v>3609.2999999999997</v>
      </c>
      <c r="E21" s="75">
        <v>3934.1</v>
      </c>
      <c r="F21" s="75">
        <v>5427.7999999999993</v>
      </c>
      <c r="G21" s="75">
        <v>5547.0999999999995</v>
      </c>
      <c r="H21" s="75">
        <v>7061.3</v>
      </c>
      <c r="I21" s="75">
        <v>9337.6</v>
      </c>
      <c r="J21" s="75">
        <v>8246.6</v>
      </c>
      <c r="K21" s="75">
        <v>10463.4</v>
      </c>
      <c r="L21" s="75">
        <v>13136.8</v>
      </c>
      <c r="M21" s="75">
        <v>18408</v>
      </c>
      <c r="N21" s="75" t="s">
        <v>61</v>
      </c>
      <c r="O21" s="150"/>
      <c r="P21" s="176" t="s">
        <v>60</v>
      </c>
      <c r="R21" s="17"/>
      <c r="S21" s="17"/>
    </row>
    <row r="22" spans="1:39" s="6" customFormat="1" ht="12.2" customHeight="1">
      <c r="A22" s="260" t="s">
        <v>26</v>
      </c>
      <c r="B22" s="245"/>
      <c r="C22" s="195"/>
      <c r="D22" s="159">
        <v>0</v>
      </c>
      <c r="E22" s="159">
        <v>0</v>
      </c>
      <c r="F22" s="159">
        <v>0</v>
      </c>
      <c r="G22" s="75">
        <v>-37.6</v>
      </c>
      <c r="H22" s="75">
        <v>-39</v>
      </c>
      <c r="I22" s="75">
        <v>2.2999999999999998</v>
      </c>
      <c r="J22" s="75">
        <v>-2.6</v>
      </c>
      <c r="K22" s="75">
        <v>-36.200000000000003</v>
      </c>
      <c r="L22" s="75">
        <v>-32.299999999999997</v>
      </c>
      <c r="M22" s="75">
        <v>-96</v>
      </c>
      <c r="N22" s="75" t="s">
        <v>61</v>
      </c>
      <c r="O22" s="150"/>
      <c r="P22" s="234" t="s">
        <v>27</v>
      </c>
      <c r="R22" s="86"/>
      <c r="S22" s="51"/>
    </row>
    <row r="23" spans="1:39" s="6" customFormat="1" ht="12.2" customHeight="1">
      <c r="A23" s="260" t="s">
        <v>28</v>
      </c>
      <c r="B23" s="245"/>
      <c r="C23" s="195">
        <v>-204</v>
      </c>
      <c r="D23" s="75">
        <v>-2733.8</v>
      </c>
      <c r="E23" s="75">
        <v>-5016.3999999999996</v>
      </c>
      <c r="F23" s="75">
        <v>3377.7000000000007</v>
      </c>
      <c r="G23" s="75">
        <v>3548.9000000000005</v>
      </c>
      <c r="H23" s="75">
        <v>892.00000000000182</v>
      </c>
      <c r="I23" s="75">
        <v>7555.1999999999989</v>
      </c>
      <c r="J23" s="75">
        <v>2287.2999999999975</v>
      </c>
      <c r="K23" s="75">
        <v>9015.7000000000025</v>
      </c>
      <c r="L23" s="75">
        <v>-4166.3</v>
      </c>
      <c r="M23" s="75">
        <v>-1307.8000000000006</v>
      </c>
      <c r="N23" s="75" t="s">
        <v>61</v>
      </c>
      <c r="O23" s="150"/>
      <c r="P23" s="234" t="s">
        <v>29</v>
      </c>
      <c r="R23" s="17"/>
      <c r="S23" s="17"/>
    </row>
    <row r="24" spans="1:39" s="6" customFormat="1" ht="12.2" customHeight="1">
      <c r="A24" s="260" t="s">
        <v>30</v>
      </c>
      <c r="B24" s="245"/>
      <c r="C24" s="195">
        <v>80.3</v>
      </c>
      <c r="D24" s="75">
        <v>1336.7999999999993</v>
      </c>
      <c r="E24" s="75">
        <v>1439.9999999999995</v>
      </c>
      <c r="F24" s="75">
        <v>-1810.6000000000031</v>
      </c>
      <c r="G24" s="75">
        <v>-2009.7999999999993</v>
      </c>
      <c r="H24" s="75">
        <v>2160.2999999999975</v>
      </c>
      <c r="I24" s="75">
        <v>-3025.4000000000024</v>
      </c>
      <c r="J24" s="75">
        <v>-1238</v>
      </c>
      <c r="K24" s="75">
        <v>-1306.2000000000035</v>
      </c>
      <c r="L24" s="75">
        <v>532.5</v>
      </c>
      <c r="M24" s="75">
        <v>-1946.2999999999956</v>
      </c>
      <c r="N24" s="75" t="s">
        <v>61</v>
      </c>
      <c r="O24" s="150"/>
      <c r="P24" s="234" t="s">
        <v>31</v>
      </c>
    </row>
    <row r="25" spans="1:39" s="6" customFormat="1" ht="12.2" customHeight="1">
      <c r="A25" s="260" t="s">
        <v>279</v>
      </c>
      <c r="B25" s="245"/>
      <c r="C25" s="195"/>
      <c r="D25" s="75"/>
      <c r="E25" s="75"/>
      <c r="F25" s="75"/>
      <c r="G25" s="75"/>
      <c r="H25" s="75"/>
      <c r="I25" s="75">
        <f>-(I18+I22+I23+I24)</f>
        <v>-5420.3999999999987</v>
      </c>
      <c r="J25" s="75">
        <f t="shared" ref="J25:M25" si="5">-(J18+J22+J23+J24)</f>
        <v>3377.6000000000004</v>
      </c>
      <c r="K25" s="75">
        <f t="shared" si="5"/>
        <v>-3355.7000000000007</v>
      </c>
      <c r="L25" s="75">
        <f t="shared" si="5"/>
        <v>9753.9</v>
      </c>
      <c r="M25" s="75">
        <f t="shared" si="5"/>
        <v>11278.4</v>
      </c>
      <c r="N25" s="75" t="s">
        <v>61</v>
      </c>
      <c r="O25" s="150"/>
      <c r="P25" s="234" t="s">
        <v>282</v>
      </c>
    </row>
    <row r="26" spans="1:39" s="6" customFormat="1" ht="12.2" customHeight="1">
      <c r="A26" s="150" t="s">
        <v>280</v>
      </c>
      <c r="B26" s="245"/>
      <c r="C26" s="195">
        <v>45.200000000000117</v>
      </c>
      <c r="D26" s="75">
        <f t="shared" ref="D26:H26" si="6">D18+D22+D23+D24</f>
        <v>546.00000000000045</v>
      </c>
      <c r="E26" s="75">
        <f t="shared" si="6"/>
        <v>-158.30000000000018</v>
      </c>
      <c r="F26" s="75">
        <f t="shared" si="6"/>
        <v>4477.7</v>
      </c>
      <c r="G26" s="75">
        <f t="shared" si="6"/>
        <v>3253.3999999999996</v>
      </c>
      <c r="H26" s="75">
        <f t="shared" si="6"/>
        <v>5282.3</v>
      </c>
      <c r="I26" s="159">
        <f>SUM(I18,I22,I23,I24,I25)</f>
        <v>0</v>
      </c>
      <c r="J26" s="159">
        <f t="shared" ref="J26:M26" si="7">SUM(J18,J22,J23,J24,J25)</f>
        <v>0</v>
      </c>
      <c r="K26" s="159">
        <f t="shared" si="7"/>
        <v>0</v>
      </c>
      <c r="L26" s="159">
        <f t="shared" si="7"/>
        <v>0</v>
      </c>
      <c r="M26" s="159">
        <f t="shared" si="7"/>
        <v>0</v>
      </c>
      <c r="N26" s="75" t="s">
        <v>61</v>
      </c>
      <c r="O26" s="150"/>
      <c r="P26" s="234" t="s">
        <v>281</v>
      </c>
      <c r="Y26" s="66"/>
    </row>
    <row r="27" spans="1:39" s="6" customFormat="1" ht="20.45" customHeight="1">
      <c r="A27" s="165" t="s">
        <v>9</v>
      </c>
      <c r="B27" s="188" t="s">
        <v>219</v>
      </c>
      <c r="C27" s="181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 t="s">
        <v>154</v>
      </c>
      <c r="P27" s="189" t="s">
        <v>16</v>
      </c>
      <c r="Y27" s="67"/>
    </row>
    <row r="28" spans="1:39" s="6" customFormat="1" ht="12.2" customHeight="1">
      <c r="A28" s="260" t="s">
        <v>24</v>
      </c>
      <c r="B28" s="245"/>
      <c r="C28" s="195">
        <v>85.300000000000125</v>
      </c>
      <c r="D28" s="75">
        <v>-1809.192</v>
      </c>
      <c r="E28" s="75">
        <v>-3493.8837999999996</v>
      </c>
      <c r="F28" s="75">
        <f>AC28/1000</f>
        <v>0</v>
      </c>
      <c r="G28" s="75">
        <f>AH28/1000</f>
        <v>0</v>
      </c>
      <c r="H28" s="75">
        <f t="shared" ref="H28:H36" si="8">AI28/1000</f>
        <v>0</v>
      </c>
      <c r="I28" s="75">
        <v>28440.9</v>
      </c>
      <c r="J28" s="75">
        <v>-1142.5</v>
      </c>
      <c r="K28" s="75">
        <v>6430.4</v>
      </c>
      <c r="L28" s="75">
        <v>26365.4</v>
      </c>
      <c r="M28" s="75">
        <v>29542</v>
      </c>
      <c r="N28" s="75">
        <v>22054.9</v>
      </c>
      <c r="O28" s="150"/>
      <c r="P28" s="234" t="s">
        <v>25</v>
      </c>
      <c r="R28" s="20"/>
      <c r="S28" s="20"/>
      <c r="T28" s="19"/>
      <c r="U28" s="14"/>
      <c r="V28" s="14"/>
      <c r="W28" s="14"/>
      <c r="X28" s="14"/>
      <c r="Y28" s="65"/>
      <c r="Z28" s="65"/>
      <c r="AA28" s="65"/>
      <c r="AK28" s="66"/>
      <c r="AL28" s="66"/>
      <c r="AM28" s="66"/>
    </row>
    <row r="29" spans="1:39" s="6" customFormat="1" ht="12.2" customHeight="1">
      <c r="A29" s="260" t="s">
        <v>189</v>
      </c>
      <c r="B29" s="245"/>
      <c r="C29" s="195">
        <v>1267.5999999999999</v>
      </c>
      <c r="D29" s="75">
        <v>-3023.6448</v>
      </c>
      <c r="E29" s="75">
        <v>-6269.113800000001</v>
      </c>
      <c r="F29" s="75">
        <f t="shared" ref="F29:F36" si="9">AC29/1000</f>
        <v>0</v>
      </c>
      <c r="G29" s="75">
        <f t="shared" ref="G29:G36" si="10">AH29/1000</f>
        <v>0</v>
      </c>
      <c r="H29" s="75">
        <f t="shared" si="8"/>
        <v>0</v>
      </c>
      <c r="I29" s="75">
        <f>33964.6-6073.4</f>
        <v>27891.199999999997</v>
      </c>
      <c r="J29" s="75">
        <f>4145.6-6384.8</f>
        <v>-2239.1999999999998</v>
      </c>
      <c r="K29" s="75">
        <f>14435.6-7044.1</f>
        <v>7391.5</v>
      </c>
      <c r="L29" s="75">
        <f>39048-8095.2</f>
        <v>30952.799999999999</v>
      </c>
      <c r="M29" s="75">
        <f>44053.6-10458.8</f>
        <v>33594.800000000003</v>
      </c>
      <c r="N29" s="75">
        <f>39792.9-12334.4</f>
        <v>27458.5</v>
      </c>
      <c r="O29" s="150"/>
      <c r="P29" s="261" t="s">
        <v>58</v>
      </c>
      <c r="R29" s="17"/>
      <c r="S29" s="17"/>
      <c r="T29" s="19"/>
      <c r="V29" s="14"/>
      <c r="W29" s="14"/>
      <c r="X29" s="14"/>
      <c r="Y29" s="65"/>
      <c r="AK29" s="66"/>
      <c r="AL29" s="66"/>
      <c r="AM29" s="66"/>
    </row>
    <row r="30" spans="1:39" s="6" customFormat="1" ht="12.2" customHeight="1">
      <c r="A30" s="260" t="s">
        <v>56</v>
      </c>
      <c r="B30" s="245"/>
      <c r="C30" s="195">
        <v>-361.7</v>
      </c>
      <c r="D30" s="75">
        <v>-700.25119999999993</v>
      </c>
      <c r="E30" s="75">
        <v>73.812399999999997</v>
      </c>
      <c r="F30" s="75">
        <f t="shared" si="9"/>
        <v>0</v>
      </c>
      <c r="G30" s="75">
        <f t="shared" si="10"/>
        <v>0</v>
      </c>
      <c r="H30" s="75">
        <f t="shared" si="8"/>
        <v>0</v>
      </c>
      <c r="I30" s="75">
        <v>3485.8</v>
      </c>
      <c r="J30" s="75">
        <v>3095.1</v>
      </c>
      <c r="K30" s="75">
        <v>1591.4</v>
      </c>
      <c r="L30" s="75">
        <v>-201.6</v>
      </c>
      <c r="M30" s="75">
        <v>1059.2</v>
      </c>
      <c r="N30" s="75">
        <v>-514.9</v>
      </c>
      <c r="O30" s="150"/>
      <c r="P30" s="176" t="s">
        <v>59</v>
      </c>
      <c r="R30" s="17"/>
      <c r="S30" s="17"/>
      <c r="T30" s="19"/>
      <c r="V30" s="14"/>
      <c r="W30" s="14"/>
      <c r="X30" s="14"/>
      <c r="Y30" s="65"/>
      <c r="AK30" s="66"/>
      <c r="AL30" s="66"/>
      <c r="AM30" s="66"/>
    </row>
    <row r="31" spans="1:39" s="6" customFormat="1" ht="12.2" customHeight="1">
      <c r="A31" s="260" t="s">
        <v>57</v>
      </c>
      <c r="B31" s="245"/>
      <c r="C31" s="195">
        <v>989</v>
      </c>
      <c r="D31" s="75">
        <v>1914.704</v>
      </c>
      <c r="E31" s="75">
        <v>2701.4176000000002</v>
      </c>
      <c r="F31" s="75">
        <f t="shared" si="9"/>
        <v>0</v>
      </c>
      <c r="G31" s="75">
        <f t="shared" si="10"/>
        <v>0</v>
      </c>
      <c r="H31" s="75">
        <f t="shared" si="8"/>
        <v>0</v>
      </c>
      <c r="I31" s="75">
        <v>-2936.1</v>
      </c>
      <c r="J31" s="75">
        <v>-1998.4</v>
      </c>
      <c r="K31" s="75">
        <v>-2552.5</v>
      </c>
      <c r="L31" s="75">
        <v>-4385.8</v>
      </c>
      <c r="M31" s="75">
        <v>-5112</v>
      </c>
      <c r="N31" s="75">
        <v>-4888.7</v>
      </c>
      <c r="O31" s="150"/>
      <c r="P31" s="176" t="s">
        <v>60</v>
      </c>
      <c r="Q31" s="63"/>
      <c r="R31" s="17"/>
      <c r="S31" s="17"/>
      <c r="T31" s="19"/>
      <c r="V31" s="14"/>
      <c r="W31" s="14"/>
      <c r="X31" s="14"/>
      <c r="Y31" s="65"/>
      <c r="AK31" s="66"/>
      <c r="AL31" s="66"/>
      <c r="AM31" s="66"/>
    </row>
    <row r="32" spans="1:39" s="6" customFormat="1" ht="12.2" customHeight="1">
      <c r="A32" s="260" t="s">
        <v>26</v>
      </c>
      <c r="B32" s="245"/>
      <c r="C32" s="195"/>
      <c r="D32" s="75" t="s">
        <v>61</v>
      </c>
      <c r="E32" s="75" t="s">
        <v>61</v>
      </c>
      <c r="F32" s="75">
        <f t="shared" si="9"/>
        <v>0</v>
      </c>
      <c r="G32" s="75">
        <f t="shared" si="10"/>
        <v>0</v>
      </c>
      <c r="H32" s="75">
        <f t="shared" si="8"/>
        <v>0</v>
      </c>
      <c r="I32" s="75">
        <v>440.8</v>
      </c>
      <c r="J32" s="75">
        <v>10.199999999999999</v>
      </c>
      <c r="K32" s="75">
        <v>850.8</v>
      </c>
      <c r="L32" s="75">
        <v>11.1</v>
      </c>
      <c r="M32" s="75">
        <v>6.6</v>
      </c>
      <c r="N32" s="75">
        <v>20.3</v>
      </c>
      <c r="O32" s="150"/>
      <c r="P32" s="234" t="s">
        <v>27</v>
      </c>
      <c r="R32" s="17"/>
      <c r="S32" s="17"/>
      <c r="T32" s="19"/>
      <c r="V32" s="14"/>
      <c r="W32" s="14"/>
      <c r="X32" s="14"/>
      <c r="Y32" s="65"/>
      <c r="AK32" s="66"/>
      <c r="AL32" s="66"/>
      <c r="AM32" s="66"/>
    </row>
    <row r="33" spans="1:39" s="6" customFormat="1" ht="12.2" customHeight="1">
      <c r="A33" s="260" t="s">
        <v>28</v>
      </c>
      <c r="B33" s="245"/>
      <c r="C33" s="195">
        <v>-204</v>
      </c>
      <c r="D33" s="75">
        <v>11.4224</v>
      </c>
      <c r="E33" s="75">
        <v>7031.067</v>
      </c>
      <c r="F33" s="75">
        <f t="shared" si="9"/>
        <v>0</v>
      </c>
      <c r="G33" s="75">
        <f t="shared" si="10"/>
        <v>0</v>
      </c>
      <c r="H33" s="75">
        <f t="shared" si="8"/>
        <v>0</v>
      </c>
      <c r="I33" s="75">
        <v>-20419.099999999999</v>
      </c>
      <c r="J33" s="75">
        <v>7241.3</v>
      </c>
      <c r="K33" s="75">
        <v>1422.9</v>
      </c>
      <c r="L33" s="75">
        <v>-22815.4</v>
      </c>
      <c r="M33" s="75">
        <v>-25430.7</v>
      </c>
      <c r="N33" s="75">
        <v>-5105.3999999999996</v>
      </c>
      <c r="O33" s="150"/>
      <c r="P33" s="234" t="s">
        <v>29</v>
      </c>
      <c r="R33" s="17"/>
      <c r="S33" s="17"/>
      <c r="T33" s="19"/>
      <c r="U33" s="14"/>
      <c r="V33" s="14"/>
      <c r="W33" s="14"/>
      <c r="X33" s="14"/>
      <c r="Y33" s="65"/>
      <c r="AK33" s="66"/>
      <c r="AL33" s="66"/>
      <c r="AM33" s="66"/>
    </row>
    <row r="34" spans="1:39" s="6" customFormat="1" ht="12.2" customHeight="1">
      <c r="A34" s="260" t="s">
        <v>30</v>
      </c>
      <c r="B34" s="245"/>
      <c r="C34" s="195">
        <v>80.3</v>
      </c>
      <c r="D34" s="75">
        <v>-1881.9856000000002</v>
      </c>
      <c r="E34" s="75">
        <v>2582.8527999999997</v>
      </c>
      <c r="F34" s="75">
        <f t="shared" si="9"/>
        <v>0</v>
      </c>
      <c r="G34" s="75">
        <f t="shared" si="10"/>
        <v>0</v>
      </c>
      <c r="H34" s="75">
        <f t="shared" si="8"/>
        <v>0</v>
      </c>
      <c r="I34" s="75">
        <v>-8462.6</v>
      </c>
      <c r="J34" s="75">
        <v>-6109</v>
      </c>
      <c r="K34" s="75">
        <v>-8704.1</v>
      </c>
      <c r="L34" s="75">
        <v>-3561.1</v>
      </c>
      <c r="M34" s="75">
        <v>-4117.8999999999996</v>
      </c>
      <c r="N34" s="75">
        <v>-27180.6</v>
      </c>
      <c r="O34" s="150"/>
      <c r="P34" s="234" t="s">
        <v>31</v>
      </c>
      <c r="R34" s="17"/>
      <c r="S34" s="17"/>
      <c r="T34" s="19"/>
      <c r="U34" s="14"/>
      <c r="V34" s="14"/>
      <c r="W34" s="14"/>
      <c r="X34" s="14"/>
      <c r="Y34" s="65"/>
      <c r="AK34" s="66"/>
      <c r="AL34" s="66"/>
      <c r="AM34" s="66"/>
    </row>
    <row r="35" spans="1:39" s="6" customFormat="1" ht="12.2" customHeight="1">
      <c r="A35" s="260" t="s">
        <v>279</v>
      </c>
      <c r="B35" s="245"/>
      <c r="C35" s="195"/>
      <c r="D35" s="75"/>
      <c r="E35" s="75"/>
      <c r="F35" s="75"/>
      <c r="G35" s="75"/>
      <c r="H35" s="75"/>
      <c r="I35" s="159">
        <f>-(I28+I32+I33+I34)</f>
        <v>-1.8189894035458565E-12</v>
      </c>
      <c r="J35" s="159">
        <f t="shared" ref="J35:M35" si="11">-(J28+J32+J33+J34)</f>
        <v>0</v>
      </c>
      <c r="K35" s="159">
        <f t="shared" si="11"/>
        <v>0</v>
      </c>
      <c r="L35" s="159">
        <f t="shared" si="11"/>
        <v>1.3642420526593924E-12</v>
      </c>
      <c r="M35" s="159">
        <f t="shared" si="11"/>
        <v>1.8189894035458565E-12</v>
      </c>
      <c r="N35" s="258">
        <f t="shared" ref="N35" si="12">-(N28+N32+N33+N34)</f>
        <v>10210.799999999996</v>
      </c>
      <c r="O35" s="150"/>
      <c r="P35" s="234" t="s">
        <v>282</v>
      </c>
      <c r="R35" s="17"/>
      <c r="S35" s="17"/>
      <c r="T35" s="19"/>
      <c r="U35" s="14"/>
      <c r="V35" s="14"/>
      <c r="W35" s="14"/>
      <c r="X35" s="14"/>
      <c r="Y35" s="65"/>
      <c r="AK35" s="66"/>
      <c r="AL35" s="66"/>
      <c r="AM35" s="66"/>
    </row>
    <row r="36" spans="1:39" s="6" customFormat="1" ht="12.2" customHeight="1">
      <c r="A36" s="150" t="s">
        <v>280</v>
      </c>
      <c r="B36" s="150"/>
      <c r="C36" s="195">
        <v>45.200000000000117</v>
      </c>
      <c r="D36" s="75">
        <v>-3679.7552000000005</v>
      </c>
      <c r="E36" s="75">
        <v>6120.0360000000001</v>
      </c>
      <c r="F36" s="75">
        <f t="shared" si="9"/>
        <v>0</v>
      </c>
      <c r="G36" s="75">
        <f t="shared" si="10"/>
        <v>0</v>
      </c>
      <c r="H36" s="75">
        <f t="shared" si="8"/>
        <v>0</v>
      </c>
      <c r="I36" s="159">
        <f>SUM(I28,I32,I33,I34,I35)</f>
        <v>0</v>
      </c>
      <c r="J36" s="159">
        <f t="shared" ref="J36:M36" si="13">SUM(J28,J32,J33,J34,J35)</f>
        <v>0</v>
      </c>
      <c r="K36" s="159">
        <f t="shared" si="13"/>
        <v>0</v>
      </c>
      <c r="L36" s="159">
        <f t="shared" si="13"/>
        <v>0</v>
      </c>
      <c r="M36" s="159">
        <f t="shared" si="13"/>
        <v>0</v>
      </c>
      <c r="N36" s="159">
        <f t="shared" ref="N36" si="14">SUM(N28,N32,N33,N34,N35)</f>
        <v>0</v>
      </c>
      <c r="O36" s="150"/>
      <c r="P36" s="234" t="s">
        <v>281</v>
      </c>
      <c r="U36" s="14"/>
      <c r="V36" s="14"/>
      <c r="W36" s="14"/>
      <c r="X36" s="14"/>
      <c r="Y36" s="65"/>
      <c r="Z36" s="65"/>
      <c r="AA36" s="65"/>
      <c r="AK36" s="66"/>
      <c r="AL36" s="66"/>
      <c r="AM36" s="66"/>
    </row>
    <row r="37" spans="1:39" s="6" customFormat="1" ht="20.45" customHeight="1">
      <c r="A37" s="165" t="s">
        <v>10</v>
      </c>
      <c r="B37" s="188" t="s">
        <v>144</v>
      </c>
      <c r="C37" s="181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 t="s">
        <v>145</v>
      </c>
      <c r="P37" s="189" t="s">
        <v>286</v>
      </c>
    </row>
    <row r="38" spans="1:39" s="6" customFormat="1" ht="12.2" customHeight="1">
      <c r="A38" s="260" t="s">
        <v>24</v>
      </c>
      <c r="B38" s="245"/>
      <c r="C38" s="195">
        <v>85.300000000000125</v>
      </c>
      <c r="D38" s="75">
        <v>882.6</v>
      </c>
      <c r="E38" s="75">
        <v>62.9</v>
      </c>
      <c r="F38" s="75">
        <v>-1610.6</v>
      </c>
      <c r="G38" s="75">
        <v>-1223.8</v>
      </c>
      <c r="H38" s="75">
        <v>-2038</v>
      </c>
      <c r="I38" s="75">
        <v>-1457.2</v>
      </c>
      <c r="J38" s="75">
        <v>-882.9</v>
      </c>
      <c r="K38" s="75">
        <v>-1336.3</v>
      </c>
      <c r="L38" s="75">
        <v>-2098.8000000000002</v>
      </c>
      <c r="M38" s="75">
        <v>-3345.3</v>
      </c>
      <c r="N38" s="75">
        <v>-2384.6</v>
      </c>
      <c r="O38" s="150"/>
      <c r="P38" s="234" t="s">
        <v>25</v>
      </c>
      <c r="R38" s="14"/>
      <c r="S38" s="14"/>
      <c r="T38" s="14"/>
    </row>
    <row r="39" spans="1:39" s="6" customFormat="1" ht="12.2" customHeight="1">
      <c r="A39" s="260" t="s">
        <v>189</v>
      </c>
      <c r="B39" s="245"/>
      <c r="C39" s="195">
        <v>1267.5999999999999</v>
      </c>
      <c r="D39" s="75">
        <v>-1515.3</v>
      </c>
      <c r="E39" s="75">
        <v>-2446.9</v>
      </c>
      <c r="F39" s="75">
        <v>-3556.3</v>
      </c>
      <c r="G39" s="75">
        <v>-3584.7</v>
      </c>
      <c r="H39" s="75">
        <v>-4574.2</v>
      </c>
      <c r="I39" s="75">
        <f>-5084.4+451.1</f>
        <v>-4633.2999999999993</v>
      </c>
      <c r="J39" s="75">
        <f>-4448.8+616.6</f>
        <v>-3832.2000000000003</v>
      </c>
      <c r="K39" s="75">
        <f>-4823.8+926.2</f>
        <v>-3897.6000000000004</v>
      </c>
      <c r="L39" s="75">
        <f>-6261.7+896</f>
        <v>-5365.7</v>
      </c>
      <c r="M39" s="75">
        <f>-7486.6+1332.3</f>
        <v>-6154.3</v>
      </c>
      <c r="N39" s="75">
        <f>-8143.6+1265.7</f>
        <v>-6877.9000000000005</v>
      </c>
      <c r="O39" s="150"/>
      <c r="P39" s="261" t="s">
        <v>58</v>
      </c>
      <c r="R39" s="17"/>
      <c r="S39" s="17"/>
    </row>
    <row r="40" spans="1:39" s="6" customFormat="1" ht="12.2" customHeight="1">
      <c r="A40" s="260" t="s">
        <v>56</v>
      </c>
      <c r="B40" s="245"/>
      <c r="C40" s="195">
        <v>-361.7</v>
      </c>
      <c r="D40" s="75">
        <v>124.9</v>
      </c>
      <c r="E40" s="75">
        <v>229.6</v>
      </c>
      <c r="F40" s="75">
        <v>90.7</v>
      </c>
      <c r="G40" s="75">
        <v>321.2</v>
      </c>
      <c r="H40" s="75">
        <v>484.6</v>
      </c>
      <c r="I40" s="75">
        <v>292.10000000000002</v>
      </c>
      <c r="J40" s="75">
        <v>266.60000000000002</v>
      </c>
      <c r="K40" s="75">
        <v>-152.4</v>
      </c>
      <c r="L40" s="75">
        <v>-187.8</v>
      </c>
      <c r="M40" s="75">
        <v>-275.89999999999998</v>
      </c>
      <c r="N40" s="75">
        <v>-240.4</v>
      </c>
      <c r="O40" s="150"/>
      <c r="P40" s="176" t="s">
        <v>59</v>
      </c>
      <c r="R40" s="17"/>
      <c r="S40" s="17"/>
    </row>
    <row r="41" spans="1:39" s="6" customFormat="1" ht="12.2" customHeight="1">
      <c r="A41" s="260" t="s">
        <v>57</v>
      </c>
      <c r="B41" s="245"/>
      <c r="C41" s="195">
        <v>989</v>
      </c>
      <c r="D41" s="75">
        <v>2273</v>
      </c>
      <c r="E41" s="75">
        <v>2280.1999999999998</v>
      </c>
      <c r="F41" s="75">
        <v>1855</v>
      </c>
      <c r="G41" s="75">
        <v>2084.5</v>
      </c>
      <c r="H41" s="75">
        <v>2029.6</v>
      </c>
      <c r="I41" s="75">
        <v>2884</v>
      </c>
      <c r="J41" s="75">
        <v>2682.7</v>
      </c>
      <c r="K41" s="75">
        <v>2713.7</v>
      </c>
      <c r="L41" s="75">
        <v>3454.7</v>
      </c>
      <c r="M41" s="75">
        <v>3084.9</v>
      </c>
      <c r="N41" s="75">
        <v>4733.7</v>
      </c>
      <c r="O41" s="150"/>
      <c r="P41" s="176" t="s">
        <v>60</v>
      </c>
      <c r="R41" s="17"/>
      <c r="S41" s="17"/>
    </row>
    <row r="42" spans="1:39" s="6" customFormat="1" ht="12.2" customHeight="1">
      <c r="A42" s="260" t="s">
        <v>26</v>
      </c>
      <c r="B42" s="245"/>
      <c r="C42" s="195"/>
      <c r="D42" s="75">
        <v>66.3</v>
      </c>
      <c r="E42" s="75">
        <v>1.5</v>
      </c>
      <c r="F42" s="75">
        <v>6</v>
      </c>
      <c r="G42" s="75">
        <v>44.5</v>
      </c>
      <c r="H42" s="75">
        <v>9.1</v>
      </c>
      <c r="I42" s="75">
        <v>201.3</v>
      </c>
      <c r="J42" s="159">
        <v>0.4</v>
      </c>
      <c r="K42" s="159">
        <v>0.2</v>
      </c>
      <c r="L42" s="159">
        <v>0</v>
      </c>
      <c r="M42" s="75">
        <v>1.8</v>
      </c>
      <c r="N42" s="75">
        <v>1.7</v>
      </c>
      <c r="O42" s="150"/>
      <c r="P42" s="234" t="s">
        <v>27</v>
      </c>
      <c r="R42" s="17"/>
      <c r="S42" s="17"/>
    </row>
    <row r="43" spans="1:39" s="6" customFormat="1" ht="12.2" customHeight="1">
      <c r="A43" s="260" t="s">
        <v>28</v>
      </c>
      <c r="B43" s="245"/>
      <c r="C43" s="195">
        <v>-204</v>
      </c>
      <c r="D43" s="75">
        <v>-1052.3</v>
      </c>
      <c r="E43" s="75">
        <v>-200.9</v>
      </c>
      <c r="F43" s="75">
        <v>1125.9000000000001</v>
      </c>
      <c r="G43" s="75">
        <v>1325.4</v>
      </c>
      <c r="H43" s="75">
        <v>1649.8</v>
      </c>
      <c r="I43" s="75">
        <v>1100.2</v>
      </c>
      <c r="J43" s="75">
        <v>605.20000000000005</v>
      </c>
      <c r="K43" s="75">
        <v>772.4</v>
      </c>
      <c r="L43" s="75">
        <v>2329.5</v>
      </c>
      <c r="M43" s="75">
        <v>3812.1</v>
      </c>
      <c r="N43" s="75">
        <v>1974.6</v>
      </c>
      <c r="O43" s="150"/>
      <c r="P43" s="234" t="s">
        <v>29</v>
      </c>
      <c r="R43" s="86"/>
      <c r="S43" s="51"/>
    </row>
    <row r="44" spans="1:39" s="6" customFormat="1" ht="12.2" customHeight="1">
      <c r="A44" s="260" t="s">
        <v>30</v>
      </c>
      <c r="B44" s="245"/>
      <c r="C44" s="195">
        <v>80.3</v>
      </c>
      <c r="D44" s="75">
        <v>103.4</v>
      </c>
      <c r="E44" s="75">
        <v>136.5</v>
      </c>
      <c r="F44" s="75">
        <v>478.7</v>
      </c>
      <c r="G44" s="75">
        <v>-146.1</v>
      </c>
      <c r="H44" s="75">
        <v>379.1</v>
      </c>
      <c r="I44" s="75">
        <v>155.5</v>
      </c>
      <c r="J44" s="75">
        <v>277.2</v>
      </c>
      <c r="K44" s="75">
        <v>563.70000000000005</v>
      </c>
      <c r="L44" s="75">
        <v>-230.7</v>
      </c>
      <c r="M44" s="75">
        <v>-468.6</v>
      </c>
      <c r="N44" s="75">
        <v>408.3</v>
      </c>
      <c r="O44" s="150"/>
      <c r="P44" s="234" t="s">
        <v>31</v>
      </c>
      <c r="R44" s="17"/>
      <c r="S44" s="17"/>
    </row>
    <row r="45" spans="1:39" s="6" customFormat="1" ht="12.2" customHeight="1">
      <c r="A45" s="260" t="s">
        <v>279</v>
      </c>
      <c r="B45" s="245"/>
      <c r="C45" s="195"/>
      <c r="D45" s="75"/>
      <c r="E45" s="75"/>
      <c r="F45" s="75"/>
      <c r="G45" s="75"/>
      <c r="H45" s="75"/>
      <c r="I45" s="159">
        <f>-(I38+I42+I43+I44)</f>
        <v>0.20000000000004547</v>
      </c>
      <c r="J45" s="159">
        <f t="shared" ref="J45:N45" si="15">-(J38+J42+J43+J44)</f>
        <v>9.9999999999965894E-2</v>
      </c>
      <c r="K45" s="159">
        <f t="shared" si="15"/>
        <v>-1.1368683772161603E-13</v>
      </c>
      <c r="L45" s="159">
        <f t="shared" si="15"/>
        <v>1.7053025658242404E-13</v>
      </c>
      <c r="M45" s="159">
        <f t="shared" si="15"/>
        <v>1.1368683772161603E-13</v>
      </c>
      <c r="N45" s="159">
        <f t="shared" si="15"/>
        <v>1.7053025658242404E-13</v>
      </c>
      <c r="O45" s="150"/>
      <c r="P45" s="234" t="s">
        <v>282</v>
      </c>
      <c r="R45" s="17"/>
      <c r="S45" s="17"/>
    </row>
    <row r="46" spans="1:39" s="6" customFormat="1" ht="12.2" customHeight="1">
      <c r="A46" s="150" t="s">
        <v>280</v>
      </c>
      <c r="B46" s="150"/>
      <c r="C46" s="195">
        <v>45.200000000000117</v>
      </c>
      <c r="D46" s="159">
        <v>0</v>
      </c>
      <c r="E46" s="159">
        <v>0</v>
      </c>
      <c r="F46" s="183">
        <f>F38+F42+F43+F44</f>
        <v>0</v>
      </c>
      <c r="G46" s="183">
        <f>G38+G42+G43+G44</f>
        <v>0</v>
      </c>
      <c r="H46" s="183" t="s">
        <v>141</v>
      </c>
      <c r="I46" s="159">
        <f>SUM(I38,I42,I43,I44,I45)</f>
        <v>0</v>
      </c>
      <c r="J46" s="159">
        <f t="shared" ref="J46:N46" si="16">SUM(J38,J42,J43,J44,J45)</f>
        <v>0</v>
      </c>
      <c r="K46" s="159">
        <f t="shared" si="16"/>
        <v>0</v>
      </c>
      <c r="L46" s="159">
        <f t="shared" si="16"/>
        <v>0</v>
      </c>
      <c r="M46" s="159">
        <f t="shared" si="16"/>
        <v>0</v>
      </c>
      <c r="N46" s="159">
        <f t="shared" si="16"/>
        <v>0</v>
      </c>
      <c r="O46" s="150"/>
      <c r="P46" s="234" t="s">
        <v>281</v>
      </c>
      <c r="AG46" s="52"/>
    </row>
    <row r="47" spans="1:39" s="6" customFormat="1" ht="20.45" customHeight="1">
      <c r="A47" s="165" t="s">
        <v>11</v>
      </c>
      <c r="B47" s="188" t="s">
        <v>144</v>
      </c>
      <c r="C47" s="181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 t="s">
        <v>145</v>
      </c>
      <c r="P47" s="189" t="s">
        <v>303</v>
      </c>
      <c r="AG47" s="52"/>
    </row>
    <row r="48" spans="1:39" s="6" customFormat="1" ht="12.2" customHeight="1">
      <c r="A48" s="260" t="s">
        <v>24</v>
      </c>
      <c r="B48" s="245"/>
      <c r="C48" s="195">
        <v>85.300000000000125</v>
      </c>
      <c r="D48" s="75">
        <v>882.6</v>
      </c>
      <c r="E48" s="75">
        <f>E49+E50+E51</f>
        <v>5351</v>
      </c>
      <c r="F48" s="75">
        <f>SUM(F49:F51)</f>
        <v>8780</v>
      </c>
      <c r="G48" s="75">
        <f>SUM(G49:G51)</f>
        <v>13149</v>
      </c>
      <c r="H48" s="75">
        <f>SUM(H49:H51)</f>
        <v>11746</v>
      </c>
      <c r="I48" s="75">
        <v>16193</v>
      </c>
      <c r="J48" s="75">
        <v>8138</v>
      </c>
      <c r="K48" s="75">
        <v>10526</v>
      </c>
      <c r="L48" s="75">
        <v>18142</v>
      </c>
      <c r="M48" s="75">
        <v>22033</v>
      </c>
      <c r="N48" s="75">
        <f>4312+5017+5381+5150</f>
        <v>19860</v>
      </c>
      <c r="O48" s="150"/>
      <c r="P48" s="234" t="s">
        <v>25</v>
      </c>
      <c r="R48" s="17"/>
      <c r="S48" s="17"/>
      <c r="T48" s="17"/>
      <c r="U48" s="17"/>
      <c r="V48" s="17"/>
      <c r="W48" s="17"/>
      <c r="X48" s="40"/>
      <c r="Y48" s="40"/>
      <c r="Z48" s="40"/>
      <c r="AA48" s="40"/>
      <c r="AB48" s="40"/>
      <c r="AC48" s="40"/>
      <c r="AD48" s="40"/>
      <c r="AE48" s="40"/>
      <c r="AF48" s="40"/>
      <c r="AG48" s="53"/>
      <c r="AI48" s="15"/>
    </row>
    <row r="49" spans="1:41" s="47" customFormat="1" ht="12.2" customHeight="1">
      <c r="A49" s="260" t="s">
        <v>189</v>
      </c>
      <c r="B49" s="245"/>
      <c r="C49" s="195">
        <v>1267.5999999999999</v>
      </c>
      <c r="D49" s="75">
        <v>2516</v>
      </c>
      <c r="E49" s="75">
        <v>4297</v>
      </c>
      <c r="F49" s="75">
        <v>7682</v>
      </c>
      <c r="G49" s="75">
        <v>11033</v>
      </c>
      <c r="H49" s="75">
        <v>11195</v>
      </c>
      <c r="I49" s="75">
        <v>16179</v>
      </c>
      <c r="J49" s="75">
        <v>9675</v>
      </c>
      <c r="K49" s="75">
        <v>11689</v>
      </c>
      <c r="L49" s="75">
        <v>19689</v>
      </c>
      <c r="M49" s="75">
        <v>23274</v>
      </c>
      <c r="N49" s="75">
        <f>4883+5451+5710+5339</f>
        <v>21383</v>
      </c>
      <c r="O49" s="150"/>
      <c r="P49" s="261" t="s">
        <v>58</v>
      </c>
      <c r="Q49" s="6"/>
      <c r="R49" s="17"/>
      <c r="S49" s="17"/>
      <c r="T49" s="17"/>
      <c r="U49" s="17"/>
      <c r="V49" s="17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53"/>
      <c r="AH49" s="6"/>
      <c r="AI49" s="18"/>
      <c r="AJ49" s="6"/>
    </row>
    <row r="50" spans="1:41" s="6" customFormat="1" ht="12.2" customHeight="1">
      <c r="A50" s="260" t="s">
        <v>56</v>
      </c>
      <c r="B50" s="245"/>
      <c r="C50" s="195">
        <v>-361.7</v>
      </c>
      <c r="D50" s="75">
        <v>1001</v>
      </c>
      <c r="E50" s="75">
        <v>1806</v>
      </c>
      <c r="F50" s="75">
        <v>2097</v>
      </c>
      <c r="G50" s="75">
        <v>3182</v>
      </c>
      <c r="H50" s="75">
        <v>3522</v>
      </c>
      <c r="I50" s="75">
        <v>2888</v>
      </c>
      <c r="J50" s="75">
        <v>2211</v>
      </c>
      <c r="K50" s="75">
        <v>2425</v>
      </c>
      <c r="L50" s="75">
        <v>2534</v>
      </c>
      <c r="M50" s="75">
        <v>3554</v>
      </c>
      <c r="N50" s="75">
        <f>624+960+778+813</f>
        <v>3175</v>
      </c>
      <c r="O50" s="150"/>
      <c r="P50" s="176" t="s">
        <v>59</v>
      </c>
      <c r="R50" s="17"/>
      <c r="S50" s="17"/>
      <c r="T50" s="17"/>
      <c r="U50" s="17"/>
      <c r="V50" s="17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53"/>
      <c r="AI50" s="7"/>
    </row>
    <row r="51" spans="1:41" s="6" customFormat="1" ht="12.2" customHeight="1">
      <c r="A51" s="260" t="s">
        <v>57</v>
      </c>
      <c r="B51" s="245"/>
      <c r="C51" s="195">
        <v>989</v>
      </c>
      <c r="D51" s="75">
        <v>-709</v>
      </c>
      <c r="E51" s="75">
        <v>-752</v>
      </c>
      <c r="F51" s="75">
        <v>-999</v>
      </c>
      <c r="G51" s="75">
        <v>-1066</v>
      </c>
      <c r="H51" s="75">
        <v>-2971</v>
      </c>
      <c r="I51" s="75">
        <v>-2874</v>
      </c>
      <c r="J51" s="75">
        <v>-3747</v>
      </c>
      <c r="K51" s="75">
        <v>-3589</v>
      </c>
      <c r="L51" s="75">
        <v>-4080</v>
      </c>
      <c r="M51" s="75">
        <v>-4795</v>
      </c>
      <c r="N51" s="75">
        <f>-1195-1395-1106-1002</f>
        <v>-4698</v>
      </c>
      <c r="O51" s="150"/>
      <c r="P51" s="176" t="s">
        <v>60</v>
      </c>
      <c r="R51" s="17"/>
      <c r="S51" s="17"/>
      <c r="T51" s="17"/>
      <c r="U51" s="17"/>
      <c r="V51" s="17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53"/>
      <c r="AI51" s="7"/>
    </row>
    <row r="52" spans="1:41" s="6" customFormat="1" ht="12.2" customHeight="1">
      <c r="A52" s="260" t="s">
        <v>26</v>
      </c>
      <c r="B52" s="245"/>
      <c r="C52" s="195"/>
      <c r="D52" s="75">
        <v>426</v>
      </c>
      <c r="E52" s="75">
        <v>127</v>
      </c>
      <c r="F52" s="75">
        <v>207</v>
      </c>
      <c r="G52" s="75">
        <v>215</v>
      </c>
      <c r="H52" s="75">
        <v>422</v>
      </c>
      <c r="I52" s="75">
        <v>465</v>
      </c>
      <c r="J52" s="75">
        <v>290</v>
      </c>
      <c r="K52" s="75">
        <v>601</v>
      </c>
      <c r="L52" s="75">
        <v>941</v>
      </c>
      <c r="M52" s="75">
        <v>1188</v>
      </c>
      <c r="N52" s="75">
        <f>354+309+289+330</f>
        <v>1282</v>
      </c>
      <c r="O52" s="150"/>
      <c r="P52" s="234" t="s">
        <v>27</v>
      </c>
      <c r="R52" s="17"/>
      <c r="S52" s="17"/>
      <c r="T52" s="17"/>
      <c r="U52" s="17"/>
      <c r="V52" s="17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53"/>
      <c r="AI52" s="15"/>
    </row>
    <row r="53" spans="1:41" s="6" customFormat="1" ht="12.2" customHeight="1">
      <c r="A53" s="260" t="s">
        <v>28</v>
      </c>
      <c r="B53" s="245"/>
      <c r="C53" s="195">
        <v>-204</v>
      </c>
      <c r="D53" s="75">
        <v>-3608</v>
      </c>
      <c r="E53" s="75">
        <v>-4978</v>
      </c>
      <c r="F53" s="75">
        <v>-9561</v>
      </c>
      <c r="G53" s="75">
        <v>-14381</v>
      </c>
      <c r="H53" s="75">
        <v>-9908</v>
      </c>
      <c r="I53" s="75">
        <v>-13788</v>
      </c>
      <c r="J53" s="75">
        <v>-7667</v>
      </c>
      <c r="K53" s="75">
        <v>-13063</v>
      </c>
      <c r="L53" s="75">
        <v>-17808</v>
      </c>
      <c r="M53" s="75">
        <v>-23524</v>
      </c>
      <c r="N53" s="75">
        <f>-4984-3657-7063-4095</f>
        <v>-19799</v>
      </c>
      <c r="O53" s="150"/>
      <c r="P53" s="234" t="s">
        <v>29</v>
      </c>
      <c r="R53" s="17"/>
      <c r="S53" s="17"/>
      <c r="T53" s="17"/>
      <c r="U53" s="17"/>
      <c r="V53" s="17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53"/>
      <c r="AI53" s="15"/>
    </row>
    <row r="54" spans="1:41" s="6" customFormat="1" ht="12.2" customHeight="1">
      <c r="A54" s="260" t="s">
        <v>30</v>
      </c>
      <c r="B54" s="245"/>
      <c r="C54" s="195">
        <v>80.3</v>
      </c>
      <c r="D54" s="75" t="s">
        <v>61</v>
      </c>
      <c r="E54" s="75" t="s">
        <v>61</v>
      </c>
      <c r="F54" s="75">
        <v>738</v>
      </c>
      <c r="G54" s="75">
        <v>2055</v>
      </c>
      <c r="H54" s="75">
        <v>-1345</v>
      </c>
      <c r="I54" s="75">
        <v>-2699</v>
      </c>
      <c r="J54" s="75">
        <v>327</v>
      </c>
      <c r="K54" s="75">
        <v>2095</v>
      </c>
      <c r="L54" s="75">
        <v>-1275</v>
      </c>
      <c r="M54" s="75">
        <v>303</v>
      </c>
      <c r="N54" s="75">
        <f>1019-1348+1167-1229</f>
        <v>-391</v>
      </c>
      <c r="O54" s="150"/>
      <c r="P54" s="234" t="s">
        <v>31</v>
      </c>
      <c r="R54" s="17"/>
      <c r="S54" s="17"/>
      <c r="T54" s="17"/>
      <c r="U54" s="17"/>
      <c r="V54" s="17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53"/>
      <c r="AI54" s="15"/>
    </row>
    <row r="55" spans="1:41" s="6" customFormat="1" ht="12.2" customHeight="1">
      <c r="A55" s="260" t="s">
        <v>279</v>
      </c>
      <c r="B55" s="245"/>
      <c r="C55" s="195"/>
      <c r="D55" s="75"/>
      <c r="E55" s="75"/>
      <c r="F55" s="75"/>
      <c r="G55" s="75"/>
      <c r="H55" s="75"/>
      <c r="I55" s="75">
        <f>-(I48+I52+I53+I54)</f>
        <v>-171</v>
      </c>
      <c r="J55" s="75">
        <f t="shared" ref="J55:N55" si="17">-(J48+J52+J53+J54)</f>
        <v>-1088</v>
      </c>
      <c r="K55" s="75">
        <f t="shared" si="17"/>
        <v>-159</v>
      </c>
      <c r="L55" s="159">
        <f t="shared" si="17"/>
        <v>0</v>
      </c>
      <c r="M55" s="159">
        <f t="shared" si="17"/>
        <v>0</v>
      </c>
      <c r="N55" s="75">
        <f t="shared" si="17"/>
        <v>-952</v>
      </c>
      <c r="O55" s="150"/>
      <c r="P55" s="234" t="s">
        <v>282</v>
      </c>
      <c r="R55" s="17"/>
      <c r="S55" s="17"/>
      <c r="T55" s="17"/>
      <c r="U55" s="17"/>
      <c r="V55" s="17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53"/>
      <c r="AI55" s="15"/>
    </row>
    <row r="56" spans="1:41" s="6" customFormat="1" ht="12.2" customHeight="1">
      <c r="A56" s="150" t="s">
        <v>280</v>
      </c>
      <c r="B56" s="150"/>
      <c r="C56" s="195">
        <v>45.200000000000117</v>
      </c>
      <c r="D56" s="75">
        <f>D48+D52+D53</f>
        <v>-2299.4</v>
      </c>
      <c r="E56" s="75">
        <f>E48+E52+E53</f>
        <v>500</v>
      </c>
      <c r="F56" s="75">
        <f>SUM(F48,F52,F53,F54)</f>
        <v>164</v>
      </c>
      <c r="G56" s="75">
        <f>SUM(G48,G52,G53,G54)</f>
        <v>1038</v>
      </c>
      <c r="H56" s="75">
        <f>SUM(H48,H52,H53,H54)</f>
        <v>915</v>
      </c>
      <c r="I56" s="262">
        <f>SUM(I48,I52,I53,I54,I55)</f>
        <v>0</v>
      </c>
      <c r="J56" s="262">
        <f t="shared" ref="J56:N56" si="18">SUM(J48,J52,J53,J54,J55)</f>
        <v>0</v>
      </c>
      <c r="K56" s="262">
        <f t="shared" si="18"/>
        <v>0</v>
      </c>
      <c r="L56" s="262">
        <f t="shared" si="18"/>
        <v>0</v>
      </c>
      <c r="M56" s="262">
        <f t="shared" si="18"/>
        <v>0</v>
      </c>
      <c r="N56" s="262">
        <f t="shared" si="18"/>
        <v>0</v>
      </c>
      <c r="O56" s="150"/>
      <c r="P56" s="234" t="s">
        <v>281</v>
      </c>
      <c r="R56" s="17"/>
      <c r="S56" s="17"/>
      <c r="T56" s="17"/>
      <c r="U56" s="17"/>
      <c r="V56" s="17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53"/>
      <c r="AI56" s="15"/>
    </row>
    <row r="57" spans="1:41" s="6" customFormat="1" ht="20.45" customHeight="1">
      <c r="A57" s="165" t="s">
        <v>6</v>
      </c>
      <c r="B57" s="188" t="s">
        <v>149</v>
      </c>
      <c r="C57" s="181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 t="s">
        <v>172</v>
      </c>
      <c r="P57" s="189" t="s">
        <v>7</v>
      </c>
      <c r="Y57" s="78"/>
      <c r="Z57" s="78"/>
    </row>
    <row r="58" spans="1:41" s="6" customFormat="1" ht="12.2" customHeight="1">
      <c r="A58" s="260" t="s">
        <v>24</v>
      </c>
      <c r="B58" s="245"/>
      <c r="C58" s="195">
        <v>85.300000000000125</v>
      </c>
      <c r="D58" s="75">
        <f t="shared" ref="D58:H58" si="19">D61+D60+D59</f>
        <v>-1760</v>
      </c>
      <c r="E58" s="75">
        <f t="shared" si="19"/>
        <v>-3369</v>
      </c>
      <c r="F58" s="75">
        <f t="shared" si="19"/>
        <v>0</v>
      </c>
      <c r="G58" s="75">
        <f t="shared" si="19"/>
        <v>0</v>
      </c>
      <c r="H58" s="75">
        <f t="shared" si="19"/>
        <v>0</v>
      </c>
      <c r="I58" s="75">
        <v>-4149</v>
      </c>
      <c r="J58" s="75">
        <v>-7021.5</v>
      </c>
      <c r="K58" s="75">
        <v>-7552.1</v>
      </c>
      <c r="L58" s="75">
        <v>-4858.8</v>
      </c>
      <c r="M58" s="75">
        <v>-1662.8</v>
      </c>
      <c r="N58" s="75"/>
      <c r="O58" s="150"/>
      <c r="P58" s="234" t="s">
        <v>25</v>
      </c>
      <c r="U58" s="43"/>
      <c r="V58" s="43"/>
      <c r="W58" s="43"/>
      <c r="X58" s="43"/>
      <c r="Y58" s="79"/>
      <c r="Z58" s="80"/>
      <c r="AA58" s="72"/>
      <c r="AL58" s="72"/>
      <c r="AM58" s="72"/>
      <c r="AO58" s="15"/>
    </row>
    <row r="59" spans="1:41" s="6" customFormat="1" ht="12.2" customHeight="1">
      <c r="A59" s="260" t="s">
        <v>189</v>
      </c>
      <c r="B59" s="245"/>
      <c r="C59" s="195">
        <v>1267.5999999999999</v>
      </c>
      <c r="D59" s="75">
        <v>-6277</v>
      </c>
      <c r="E59" s="75">
        <v>-7212</v>
      </c>
      <c r="F59" s="75">
        <f t="shared" ref="F59:F64" si="20">AC59</f>
        <v>0</v>
      </c>
      <c r="G59" s="75">
        <f t="shared" ref="G59:H64" si="21">AH59</f>
        <v>0</v>
      </c>
      <c r="H59" s="75">
        <f t="shared" si="21"/>
        <v>0</v>
      </c>
      <c r="I59" s="75">
        <f>-11010.1+4063.5</f>
        <v>-6946.6</v>
      </c>
      <c r="J59" s="75">
        <f>-11178.6+2558</f>
        <v>-8620.6</v>
      </c>
      <c r="K59" s="75">
        <f>2764.9-12257.7</f>
        <v>-9492.8000000000011</v>
      </c>
      <c r="L59" s="75">
        <f>6687.4-13897</f>
        <v>-7209.6</v>
      </c>
      <c r="M59" s="75">
        <f>9872.5-14593.3</f>
        <v>-4720.7999999999993</v>
      </c>
      <c r="N59" s="75"/>
      <c r="O59" s="150"/>
      <c r="P59" s="261" t="s">
        <v>58</v>
      </c>
      <c r="R59" s="17"/>
      <c r="S59" s="17"/>
      <c r="Y59" s="78"/>
      <c r="Z59" s="80"/>
      <c r="AA59" s="72"/>
      <c r="AL59" s="72"/>
      <c r="AM59" s="72"/>
      <c r="AO59" s="18"/>
    </row>
    <row r="60" spans="1:41" s="6" customFormat="1" ht="12.2" customHeight="1">
      <c r="A60" s="260" t="s">
        <v>56</v>
      </c>
      <c r="B60" s="245"/>
      <c r="C60" s="195">
        <v>-361.7</v>
      </c>
      <c r="D60" s="75">
        <v>-362</v>
      </c>
      <c r="E60" s="75">
        <v>-1230</v>
      </c>
      <c r="F60" s="75">
        <f t="shared" si="20"/>
        <v>0</v>
      </c>
      <c r="G60" s="75">
        <f t="shared" si="21"/>
        <v>0</v>
      </c>
      <c r="H60" s="75">
        <f t="shared" si="21"/>
        <v>0</v>
      </c>
      <c r="I60" s="75">
        <v>437.2</v>
      </c>
      <c r="J60" s="75">
        <v>-228.1</v>
      </c>
      <c r="K60" s="75">
        <v>-508.9</v>
      </c>
      <c r="L60" s="75">
        <v>-174.2</v>
      </c>
      <c r="M60" s="75">
        <v>390.6</v>
      </c>
      <c r="N60" s="75"/>
      <c r="O60" s="150"/>
      <c r="P60" s="176" t="s">
        <v>59</v>
      </c>
      <c r="R60" s="17"/>
      <c r="S60" s="17"/>
      <c r="Y60" s="78"/>
      <c r="Z60" s="80"/>
      <c r="AA60" s="72"/>
      <c r="AL60" s="72"/>
      <c r="AM60" s="72"/>
      <c r="AO60" s="7"/>
    </row>
    <row r="61" spans="1:41" s="6" customFormat="1" ht="12.2" customHeight="1">
      <c r="A61" s="260" t="s">
        <v>57</v>
      </c>
      <c r="B61" s="245"/>
      <c r="C61" s="195">
        <v>989</v>
      </c>
      <c r="D61" s="75">
        <v>4879</v>
      </c>
      <c r="E61" s="75">
        <v>5073</v>
      </c>
      <c r="F61" s="75">
        <f t="shared" si="20"/>
        <v>0</v>
      </c>
      <c r="G61" s="75">
        <f t="shared" si="21"/>
        <v>0</v>
      </c>
      <c r="H61" s="75">
        <f t="shared" si="21"/>
        <v>0</v>
      </c>
      <c r="I61" s="75">
        <v>2360.3000000000002</v>
      </c>
      <c r="J61" s="75">
        <v>1827.2</v>
      </c>
      <c r="K61" s="75">
        <v>2449.6999999999998</v>
      </c>
      <c r="L61" s="75">
        <v>2525.1</v>
      </c>
      <c r="M61" s="75">
        <v>2667.4</v>
      </c>
      <c r="N61" s="75"/>
      <c r="O61" s="150"/>
      <c r="P61" s="176" t="s">
        <v>60</v>
      </c>
      <c r="R61" s="17"/>
      <c r="S61" s="17"/>
      <c r="Y61" s="78"/>
      <c r="Z61" s="80"/>
      <c r="AA61" s="72"/>
      <c r="AL61" s="72"/>
      <c r="AM61" s="72"/>
      <c r="AO61" s="7"/>
    </row>
    <row r="62" spans="1:41" s="6" customFormat="1" ht="12.2" customHeight="1">
      <c r="A62" s="260" t="s">
        <v>26</v>
      </c>
      <c r="B62" s="245"/>
      <c r="C62" s="195"/>
      <c r="D62" s="75">
        <v>2431</v>
      </c>
      <c r="E62" s="75">
        <v>2170</v>
      </c>
      <c r="F62" s="75">
        <f t="shared" si="20"/>
        <v>0</v>
      </c>
      <c r="G62" s="75">
        <f t="shared" si="21"/>
        <v>0</v>
      </c>
      <c r="H62" s="75">
        <f t="shared" si="21"/>
        <v>0</v>
      </c>
      <c r="I62" s="75">
        <v>409.5</v>
      </c>
      <c r="J62" s="75">
        <v>18</v>
      </c>
      <c r="K62" s="75">
        <v>267.89999999999998</v>
      </c>
      <c r="L62" s="75">
        <v>164.7</v>
      </c>
      <c r="M62" s="75">
        <v>178.2</v>
      </c>
      <c r="N62" s="75"/>
      <c r="O62" s="150"/>
      <c r="P62" s="234" t="s">
        <v>27</v>
      </c>
      <c r="R62" s="50"/>
      <c r="S62" s="50"/>
      <c r="U62" s="44"/>
      <c r="V62" s="44"/>
      <c r="W62" s="44"/>
      <c r="X62" s="44"/>
      <c r="Y62" s="79"/>
      <c r="Z62" s="80"/>
      <c r="AA62" s="72"/>
      <c r="AL62" s="72"/>
      <c r="AM62" s="72"/>
      <c r="AO62" s="15"/>
    </row>
    <row r="63" spans="1:41" s="6" customFormat="1" ht="12.2" customHeight="1">
      <c r="A63" s="260" t="s">
        <v>28</v>
      </c>
      <c r="B63" s="245"/>
      <c r="C63" s="195">
        <v>-204</v>
      </c>
      <c r="D63" s="75">
        <v>-670</v>
      </c>
      <c r="E63" s="75">
        <v>1200</v>
      </c>
      <c r="F63" s="75">
        <f t="shared" si="20"/>
        <v>0</v>
      </c>
      <c r="G63" s="75">
        <f t="shared" si="21"/>
        <v>0</v>
      </c>
      <c r="H63" s="75">
        <f t="shared" si="21"/>
        <v>0</v>
      </c>
      <c r="I63" s="75">
        <v>5464.9</v>
      </c>
      <c r="J63" s="75">
        <v>11100</v>
      </c>
      <c r="K63" s="75">
        <v>476.3</v>
      </c>
      <c r="L63" s="75">
        <v>6787.7</v>
      </c>
      <c r="M63" s="75">
        <v>5572.9</v>
      </c>
      <c r="N63" s="75"/>
      <c r="O63" s="150"/>
      <c r="P63" s="234" t="s">
        <v>29</v>
      </c>
      <c r="R63" s="17"/>
      <c r="S63" s="17"/>
      <c r="U63" s="44"/>
      <c r="V63" s="44"/>
      <c r="W63" s="44"/>
      <c r="X63" s="44"/>
      <c r="Y63" s="79"/>
      <c r="Z63" s="80"/>
      <c r="AA63" s="72"/>
      <c r="AL63" s="72"/>
      <c r="AM63" s="72"/>
      <c r="AO63" s="15"/>
    </row>
    <row r="64" spans="1:41" s="6" customFormat="1" ht="12.2" customHeight="1">
      <c r="A64" s="260" t="s">
        <v>30</v>
      </c>
      <c r="B64" s="245"/>
      <c r="C64" s="195">
        <v>80.3</v>
      </c>
      <c r="D64" s="183" t="s">
        <v>61</v>
      </c>
      <c r="E64" s="183" t="s">
        <v>61</v>
      </c>
      <c r="F64" s="75">
        <f t="shared" si="20"/>
        <v>0</v>
      </c>
      <c r="G64" s="75">
        <f t="shared" si="21"/>
        <v>0</v>
      </c>
      <c r="H64" s="75">
        <f t="shared" si="21"/>
        <v>0</v>
      </c>
      <c r="I64" s="75">
        <v>-1725.4</v>
      </c>
      <c r="J64" s="75">
        <v>-4096.5</v>
      </c>
      <c r="K64" s="75">
        <v>6807.8</v>
      </c>
      <c r="L64" s="75">
        <v>-2093.6999999999998</v>
      </c>
      <c r="M64" s="75">
        <v>-4088.3</v>
      </c>
      <c r="N64" s="75"/>
      <c r="O64" s="150"/>
      <c r="P64" s="234" t="s">
        <v>31</v>
      </c>
      <c r="U64" s="44"/>
      <c r="V64" s="44"/>
      <c r="W64" s="44"/>
      <c r="X64" s="44"/>
      <c r="Y64" s="79"/>
      <c r="Z64" s="80"/>
      <c r="AA64" s="72"/>
      <c r="AL64" s="72"/>
      <c r="AM64" s="72"/>
      <c r="AO64" s="15"/>
    </row>
    <row r="65" spans="1:41" s="6" customFormat="1" ht="12.2" customHeight="1">
      <c r="A65" s="260" t="s">
        <v>279</v>
      </c>
      <c r="B65" s="245"/>
      <c r="C65" s="195"/>
      <c r="D65" s="183"/>
      <c r="E65" s="183"/>
      <c r="F65" s="75"/>
      <c r="G65" s="75"/>
      <c r="H65" s="75"/>
      <c r="I65" s="159">
        <f>-(I58+I62+I63+I64)</f>
        <v>4.5474735088646412E-13</v>
      </c>
      <c r="J65" s="159">
        <f t="shared" ref="J65:M65" si="22">-(J58+J62+J63+J64)</f>
        <v>0</v>
      </c>
      <c r="K65" s="159">
        <f t="shared" si="22"/>
        <v>0.1000000000003638</v>
      </c>
      <c r="L65" s="159">
        <f t="shared" si="22"/>
        <v>0.1000000000003638</v>
      </c>
      <c r="M65" s="159">
        <f t="shared" si="22"/>
        <v>4.5474735088646412E-13</v>
      </c>
      <c r="N65" s="75"/>
      <c r="O65" s="150"/>
      <c r="P65" s="234" t="s">
        <v>282</v>
      </c>
      <c r="U65" s="44"/>
      <c r="V65" s="44"/>
      <c r="W65" s="44"/>
      <c r="X65" s="44"/>
      <c r="Y65" s="79"/>
      <c r="Z65" s="80"/>
      <c r="AA65" s="72"/>
      <c r="AL65" s="72"/>
      <c r="AM65" s="72"/>
      <c r="AO65" s="15"/>
    </row>
    <row r="66" spans="1:41" s="6" customFormat="1" ht="12.2" customHeight="1">
      <c r="A66" s="150" t="s">
        <v>280</v>
      </c>
      <c r="B66" s="150"/>
      <c r="C66" s="195">
        <v>45.200000000000117</v>
      </c>
      <c r="D66" s="183">
        <f>D58+D62+D63</f>
        <v>1</v>
      </c>
      <c r="E66" s="183">
        <f>E58+E62+E63</f>
        <v>1</v>
      </c>
      <c r="F66" s="183">
        <f>F58+F62+F63+F64</f>
        <v>0</v>
      </c>
      <c r="G66" s="183">
        <f>G58+G62+G63+G64</f>
        <v>0</v>
      </c>
      <c r="H66" s="183" t="s">
        <v>141</v>
      </c>
      <c r="I66" s="159">
        <f>SUM(I58,I62,I63,I64,I65)</f>
        <v>0</v>
      </c>
      <c r="J66" s="159">
        <f t="shared" ref="J66:M66" si="23">SUM(J58,J62,J63,J64,J65)</f>
        <v>0</v>
      </c>
      <c r="K66" s="159">
        <f t="shared" si="23"/>
        <v>0</v>
      </c>
      <c r="L66" s="159">
        <f t="shared" si="23"/>
        <v>0</v>
      </c>
      <c r="M66" s="159">
        <f t="shared" si="23"/>
        <v>0</v>
      </c>
      <c r="N66" s="183"/>
      <c r="O66" s="150"/>
      <c r="P66" s="234" t="s">
        <v>281</v>
      </c>
      <c r="Y66" s="78"/>
      <c r="Z66" s="80"/>
      <c r="AA66" s="72"/>
      <c r="AL66" s="72"/>
      <c r="AM66" s="72"/>
      <c r="AO66" s="15"/>
    </row>
    <row r="67" spans="1:41" s="6" customFormat="1" ht="20.45" customHeight="1">
      <c r="A67" s="165" t="s">
        <v>206</v>
      </c>
      <c r="B67" s="188" t="s">
        <v>144</v>
      </c>
      <c r="C67" s="181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 t="s">
        <v>145</v>
      </c>
      <c r="P67" s="189" t="s">
        <v>208</v>
      </c>
      <c r="Y67" s="78"/>
      <c r="Z67" s="78"/>
    </row>
    <row r="68" spans="1:41" s="6" customFormat="1" ht="12.2" customHeight="1">
      <c r="A68" s="260" t="s">
        <v>24</v>
      </c>
      <c r="B68" s="150"/>
      <c r="C68" s="195">
        <v>85.300000000000125</v>
      </c>
      <c r="D68" s="75">
        <f t="shared" ref="D68:H68" si="24">D71+D70+D69</f>
        <v>-1760</v>
      </c>
      <c r="E68" s="75">
        <f t="shared" si="24"/>
        <v>-3369</v>
      </c>
      <c r="F68" s="75">
        <f t="shared" si="24"/>
        <v>0</v>
      </c>
      <c r="G68" s="75">
        <f t="shared" si="24"/>
        <v>0</v>
      </c>
      <c r="H68" s="75">
        <f t="shared" si="24"/>
        <v>0</v>
      </c>
      <c r="I68" s="75">
        <v>45983</v>
      </c>
      <c r="J68" s="75">
        <v>11724</v>
      </c>
      <c r="K68" s="75">
        <v>19927</v>
      </c>
      <c r="L68" s="75">
        <v>3872</v>
      </c>
      <c r="M68" s="75">
        <v>30034</v>
      </c>
      <c r="N68" s="75"/>
      <c r="O68" s="181"/>
      <c r="P68" s="234" t="s">
        <v>25</v>
      </c>
      <c r="U68" s="43"/>
      <c r="V68" s="43"/>
      <c r="W68" s="43"/>
      <c r="X68" s="43"/>
      <c r="Y68" s="79"/>
      <c r="Z68" s="80"/>
      <c r="AA68" s="72"/>
      <c r="AL68" s="72"/>
      <c r="AM68" s="72"/>
      <c r="AO68" s="15"/>
    </row>
    <row r="69" spans="1:41" s="6" customFormat="1" ht="12.2" customHeight="1">
      <c r="A69" s="260" t="s">
        <v>189</v>
      </c>
      <c r="B69" s="150"/>
      <c r="C69" s="195">
        <v>1267.5999999999999</v>
      </c>
      <c r="D69" s="75">
        <v>-6277</v>
      </c>
      <c r="E69" s="75">
        <v>-7212</v>
      </c>
      <c r="F69" s="75">
        <f t="shared" ref="F69:F74" si="25">AC69</f>
        <v>0</v>
      </c>
      <c r="G69" s="75">
        <f t="shared" ref="G69:G74" si="26">AH69</f>
        <v>0</v>
      </c>
      <c r="H69" s="75">
        <f t="shared" ref="H69:H74" si="27">AI69</f>
        <v>0</v>
      </c>
      <c r="I69" s="75">
        <v>46409</v>
      </c>
      <c r="J69" s="75">
        <v>12968</v>
      </c>
      <c r="K69" s="75">
        <v>22267</v>
      </c>
      <c r="L69" s="75">
        <v>4264</v>
      </c>
      <c r="M69" s="75">
        <v>36027</v>
      </c>
      <c r="N69" s="75"/>
      <c r="O69" s="181"/>
      <c r="P69" s="261" t="s">
        <v>58</v>
      </c>
      <c r="R69" s="17"/>
      <c r="S69" s="17"/>
      <c r="Y69" s="78"/>
      <c r="Z69" s="80"/>
      <c r="AA69" s="72"/>
      <c r="AL69" s="72"/>
      <c r="AM69" s="72"/>
      <c r="AO69" s="18"/>
    </row>
    <row r="70" spans="1:41" s="6" customFormat="1" ht="12.2" customHeight="1">
      <c r="A70" s="260" t="s">
        <v>56</v>
      </c>
      <c r="B70" s="150"/>
      <c r="C70" s="195">
        <v>-361.7</v>
      </c>
      <c r="D70" s="75">
        <v>-362</v>
      </c>
      <c r="E70" s="75">
        <v>-1230</v>
      </c>
      <c r="F70" s="75">
        <f t="shared" si="25"/>
        <v>0</v>
      </c>
      <c r="G70" s="75">
        <f t="shared" si="26"/>
        <v>0</v>
      </c>
      <c r="H70" s="75">
        <f t="shared" si="27"/>
        <v>0</v>
      </c>
      <c r="I70" s="75">
        <v>863</v>
      </c>
      <c r="J70" s="75">
        <v>721</v>
      </c>
      <c r="K70" s="75">
        <v>-37</v>
      </c>
      <c r="L70" s="75">
        <v>68</v>
      </c>
      <c r="M70" s="75">
        <v>-2434</v>
      </c>
      <c r="N70" s="75"/>
      <c r="O70" s="181"/>
      <c r="P70" s="176" t="s">
        <v>59</v>
      </c>
      <c r="R70" s="17"/>
      <c r="S70" s="17"/>
      <c r="Y70" s="78"/>
      <c r="Z70" s="80"/>
      <c r="AA70" s="72"/>
      <c r="AL70" s="72"/>
      <c r="AM70" s="72"/>
      <c r="AO70" s="7"/>
    </row>
    <row r="71" spans="1:41" s="6" customFormat="1" ht="12.2" customHeight="1">
      <c r="A71" s="260" t="s">
        <v>57</v>
      </c>
      <c r="B71" s="150"/>
      <c r="C71" s="195">
        <v>989</v>
      </c>
      <c r="D71" s="75">
        <v>4879</v>
      </c>
      <c r="E71" s="75">
        <v>5073</v>
      </c>
      <c r="F71" s="75">
        <f t="shared" si="25"/>
        <v>0</v>
      </c>
      <c r="G71" s="75">
        <f t="shared" si="26"/>
        <v>0</v>
      </c>
      <c r="H71" s="75">
        <f t="shared" si="27"/>
        <v>0</v>
      </c>
      <c r="I71" s="75">
        <v>-1289</v>
      </c>
      <c r="J71" s="75">
        <v>-1965</v>
      </c>
      <c r="K71" s="75">
        <v>-2303</v>
      </c>
      <c r="L71" s="75">
        <v>-460</v>
      </c>
      <c r="M71" s="75">
        <v>-3559</v>
      </c>
      <c r="N71" s="75"/>
      <c r="O71" s="181"/>
      <c r="P71" s="176" t="s">
        <v>60</v>
      </c>
      <c r="R71" s="17"/>
      <c r="S71" s="17"/>
      <c r="Y71" s="78"/>
      <c r="Z71" s="80"/>
      <c r="AA71" s="72"/>
      <c r="AL71" s="72"/>
      <c r="AM71" s="72"/>
      <c r="AO71" s="7"/>
    </row>
    <row r="72" spans="1:41" s="6" customFormat="1" ht="12.2" customHeight="1">
      <c r="A72" s="260" t="s">
        <v>314</v>
      </c>
      <c r="B72" s="150"/>
      <c r="C72" s="195"/>
      <c r="D72" s="75">
        <v>2431</v>
      </c>
      <c r="E72" s="75">
        <v>2170</v>
      </c>
      <c r="F72" s="75">
        <f t="shared" si="25"/>
        <v>0</v>
      </c>
      <c r="G72" s="75">
        <f t="shared" si="26"/>
        <v>0</v>
      </c>
      <c r="H72" s="75">
        <f t="shared" si="27"/>
        <v>0</v>
      </c>
      <c r="I72" s="75">
        <v>-23905</v>
      </c>
      <c r="J72" s="75">
        <v>-4448</v>
      </c>
      <c r="K72" s="75">
        <v>-11474</v>
      </c>
      <c r="L72" s="75">
        <v>-3002</v>
      </c>
      <c r="M72" s="75">
        <v>-9937</v>
      </c>
      <c r="N72" s="75"/>
      <c r="O72" s="181"/>
      <c r="P72" s="234" t="s">
        <v>315</v>
      </c>
      <c r="R72" s="50"/>
      <c r="S72" s="50"/>
      <c r="U72" s="44"/>
      <c r="V72" s="44"/>
      <c r="W72" s="44"/>
      <c r="X72" s="44"/>
      <c r="Y72" s="79"/>
      <c r="Z72" s="80"/>
      <c r="AA72" s="72"/>
      <c r="AL72" s="72"/>
      <c r="AM72" s="72"/>
      <c r="AO72" s="15"/>
    </row>
    <row r="73" spans="1:41" s="6" customFormat="1" ht="12.2" customHeight="1">
      <c r="A73" s="260" t="s">
        <v>28</v>
      </c>
      <c r="B73" s="150"/>
      <c r="C73" s="195">
        <v>-204</v>
      </c>
      <c r="D73" s="75">
        <v>-670</v>
      </c>
      <c r="E73" s="75">
        <v>1200</v>
      </c>
      <c r="F73" s="75">
        <f t="shared" si="25"/>
        <v>0</v>
      </c>
      <c r="G73" s="75">
        <f t="shared" si="26"/>
        <v>0</v>
      </c>
      <c r="H73" s="75">
        <f t="shared" si="27"/>
        <v>0</v>
      </c>
      <c r="I73" s="75" t="s">
        <v>61</v>
      </c>
      <c r="J73" s="75" t="s">
        <v>61</v>
      </c>
      <c r="K73" s="75" t="s">
        <v>61</v>
      </c>
      <c r="L73" s="75" t="s">
        <v>61</v>
      </c>
      <c r="M73" s="75" t="s">
        <v>61</v>
      </c>
      <c r="N73" s="75"/>
      <c r="O73" s="181"/>
      <c r="P73" s="234" t="s">
        <v>29</v>
      </c>
      <c r="R73" s="17"/>
      <c r="S73" s="17"/>
      <c r="U73" s="44"/>
      <c r="V73" s="44"/>
      <c r="W73" s="44"/>
      <c r="X73" s="44"/>
      <c r="Y73" s="79"/>
      <c r="Z73" s="80"/>
      <c r="AA73" s="72"/>
      <c r="AL73" s="72"/>
      <c r="AM73" s="72"/>
      <c r="AO73" s="15"/>
    </row>
    <row r="74" spans="1:41" s="6" customFormat="1" ht="12.2" customHeight="1">
      <c r="A74" s="260" t="s">
        <v>30</v>
      </c>
      <c r="B74" s="150"/>
      <c r="C74" s="195">
        <v>80.3</v>
      </c>
      <c r="D74" s="183" t="s">
        <v>61</v>
      </c>
      <c r="E74" s="183" t="s">
        <v>61</v>
      </c>
      <c r="F74" s="75">
        <f t="shared" si="25"/>
        <v>0</v>
      </c>
      <c r="G74" s="75">
        <f t="shared" si="26"/>
        <v>0</v>
      </c>
      <c r="H74" s="75">
        <f t="shared" si="27"/>
        <v>0</v>
      </c>
      <c r="I74" s="75">
        <v>-2428</v>
      </c>
      <c r="J74" s="75">
        <v>-823</v>
      </c>
      <c r="K74" s="75">
        <v>-2760</v>
      </c>
      <c r="L74" s="75">
        <v>-3345</v>
      </c>
      <c r="M74" s="75">
        <v>-3199</v>
      </c>
      <c r="N74" s="75"/>
      <c r="O74" s="150"/>
      <c r="P74" s="234" t="s">
        <v>31</v>
      </c>
      <c r="U74" s="44"/>
      <c r="V74" s="44"/>
      <c r="W74" s="44"/>
      <c r="X74" s="44"/>
      <c r="Y74" s="79"/>
      <c r="Z74" s="80"/>
      <c r="AA74" s="72"/>
      <c r="AL74" s="72"/>
      <c r="AM74" s="72"/>
      <c r="AO74" s="15"/>
    </row>
    <row r="75" spans="1:41" s="6" customFormat="1" ht="12.2" customHeight="1">
      <c r="A75" s="260" t="s">
        <v>279</v>
      </c>
      <c r="B75" s="150"/>
      <c r="C75" s="195"/>
      <c r="D75" s="183"/>
      <c r="E75" s="183"/>
      <c r="F75" s="75"/>
      <c r="G75" s="75"/>
      <c r="H75" s="75"/>
      <c r="I75" s="75">
        <f>-(I68+I72+I74)</f>
        <v>-19650</v>
      </c>
      <c r="J75" s="75">
        <f t="shared" ref="J75:M75" si="28">-(J68+J72+J74)</f>
        <v>-6453</v>
      </c>
      <c r="K75" s="75">
        <f t="shared" si="28"/>
        <v>-5693</v>
      </c>
      <c r="L75" s="75">
        <f t="shared" si="28"/>
        <v>2475</v>
      </c>
      <c r="M75" s="75">
        <f t="shared" si="28"/>
        <v>-16898</v>
      </c>
      <c r="N75" s="75"/>
      <c r="O75" s="150"/>
      <c r="P75" s="234" t="s">
        <v>282</v>
      </c>
      <c r="U75" s="44"/>
      <c r="V75" s="44"/>
      <c r="W75" s="44"/>
      <c r="X75" s="44"/>
      <c r="Y75" s="79"/>
      <c r="Z75" s="80"/>
      <c r="AA75" s="72"/>
      <c r="AL75" s="72"/>
      <c r="AM75" s="72"/>
      <c r="AO75" s="15"/>
    </row>
    <row r="76" spans="1:41" s="6" customFormat="1" ht="12.2" customHeight="1">
      <c r="A76" s="150" t="s">
        <v>280</v>
      </c>
      <c r="B76" s="150"/>
      <c r="C76" s="195">
        <v>45.200000000000117</v>
      </c>
      <c r="D76" s="183">
        <f>D68+D72+D73</f>
        <v>1</v>
      </c>
      <c r="E76" s="183">
        <f>E68+E72+E73</f>
        <v>1</v>
      </c>
      <c r="F76" s="183">
        <f>F68+F72+F73+F74</f>
        <v>0</v>
      </c>
      <c r="G76" s="183">
        <f>G68+G72+G73+G74</f>
        <v>0</v>
      </c>
      <c r="H76" s="183" t="s">
        <v>141</v>
      </c>
      <c r="I76" s="159">
        <f>SUM(I68,I72,I74,I75)</f>
        <v>0</v>
      </c>
      <c r="J76" s="159">
        <f t="shared" ref="J76:M76" si="29">SUM(J68,J72,J74,J75)</f>
        <v>0</v>
      </c>
      <c r="K76" s="159">
        <f t="shared" si="29"/>
        <v>0</v>
      </c>
      <c r="L76" s="159">
        <f t="shared" si="29"/>
        <v>0</v>
      </c>
      <c r="M76" s="159">
        <f t="shared" si="29"/>
        <v>0</v>
      </c>
      <c r="N76" s="75"/>
      <c r="O76" s="150"/>
      <c r="P76" s="234" t="s">
        <v>281</v>
      </c>
      <c r="Y76" s="78"/>
      <c r="Z76" s="80"/>
      <c r="AA76" s="72"/>
      <c r="AL76" s="72"/>
      <c r="AM76" s="72"/>
      <c r="AO76" s="15"/>
    </row>
    <row r="77" spans="1:41" s="6" customFormat="1" ht="20.45" customHeight="1">
      <c r="A77" s="165" t="s">
        <v>209</v>
      </c>
      <c r="B77" s="188" t="s">
        <v>221</v>
      </c>
      <c r="C77" s="181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81" t="s">
        <v>157</v>
      </c>
      <c r="P77" s="189" t="s">
        <v>211</v>
      </c>
      <c r="Y77" s="78"/>
      <c r="Z77" s="78"/>
    </row>
    <row r="78" spans="1:41" s="6" customFormat="1" ht="12.2" customHeight="1">
      <c r="A78" s="260" t="s">
        <v>24</v>
      </c>
      <c r="B78" s="245"/>
      <c r="C78" s="195">
        <v>85.300000000000125</v>
      </c>
      <c r="D78" s="75">
        <f t="shared" ref="D78:H78" si="30">D81+D80+D79</f>
        <v>-1760</v>
      </c>
      <c r="E78" s="75">
        <f t="shared" si="30"/>
        <v>-3369</v>
      </c>
      <c r="F78" s="75">
        <f t="shared" si="30"/>
        <v>0</v>
      </c>
      <c r="G78" s="75">
        <f t="shared" si="30"/>
        <v>0</v>
      </c>
      <c r="H78" s="75">
        <f t="shared" si="30"/>
        <v>0</v>
      </c>
      <c r="I78" s="75">
        <v>-35936.699999999997</v>
      </c>
      <c r="J78" s="75">
        <v>-39873.9</v>
      </c>
      <c r="K78" s="75">
        <v>-34321.9</v>
      </c>
      <c r="L78" s="75">
        <v>-64602.7</v>
      </c>
      <c r="M78" s="75">
        <v>-80647.7</v>
      </c>
      <c r="N78" s="75">
        <v>-66165.600000000006</v>
      </c>
      <c r="O78" s="150"/>
      <c r="P78" s="234" t="s">
        <v>25</v>
      </c>
      <c r="U78" s="43"/>
      <c r="V78" s="43"/>
      <c r="W78" s="43"/>
      <c r="X78" s="43"/>
      <c r="Y78" s="79"/>
      <c r="Z78" s="80"/>
      <c r="AA78" s="72"/>
      <c r="AL78" s="72"/>
      <c r="AM78" s="72"/>
      <c r="AO78" s="15"/>
    </row>
    <row r="79" spans="1:41" s="6" customFormat="1" ht="12.2" customHeight="1">
      <c r="A79" s="260" t="s">
        <v>189</v>
      </c>
      <c r="B79" s="245"/>
      <c r="C79" s="195">
        <v>1267.5999999999999</v>
      </c>
      <c r="D79" s="75">
        <v>-6277</v>
      </c>
      <c r="E79" s="75">
        <v>-7212</v>
      </c>
      <c r="F79" s="75">
        <f t="shared" ref="F79:F84" si="31">AC79</f>
        <v>0</v>
      </c>
      <c r="G79" s="75">
        <f t="shared" ref="G79:G84" si="32">AH79</f>
        <v>0</v>
      </c>
      <c r="H79" s="75">
        <f t="shared" ref="H79:H84" si="33">AI79</f>
        <v>0</v>
      </c>
      <c r="I79" s="75">
        <f>-150963.3+51474.8</f>
        <v>-99488.499999999985</v>
      </c>
      <c r="J79" s="75">
        <f>-131163+43449.6</f>
        <v>-87713.4</v>
      </c>
      <c r="K79" s="75">
        <f>42837.4-126032.7</f>
        <v>-83195.299999999988</v>
      </c>
      <c r="L79" s="75">
        <f>-155942.5
+43078.7</f>
        <v>-112863.8</v>
      </c>
      <c r="M79" s="75">
        <v>-127763.3</v>
      </c>
      <c r="N79" s="75">
        <v>-124587.6</v>
      </c>
      <c r="O79" s="150"/>
      <c r="P79" s="261" t="s">
        <v>58</v>
      </c>
      <c r="R79" s="17"/>
      <c r="S79" s="17"/>
      <c r="Y79" s="78"/>
      <c r="Z79" s="80"/>
      <c r="AA79" s="72"/>
      <c r="AL79" s="72"/>
      <c r="AM79" s="72"/>
      <c r="AO79" s="18"/>
    </row>
    <row r="80" spans="1:41" s="6" customFormat="1" ht="12.2" customHeight="1">
      <c r="A80" s="260" t="s">
        <v>56</v>
      </c>
      <c r="B80" s="245"/>
      <c r="C80" s="195">
        <v>-361.7</v>
      </c>
      <c r="D80" s="75">
        <v>-362</v>
      </c>
      <c r="E80" s="75">
        <v>-1230</v>
      </c>
      <c r="F80" s="75">
        <f t="shared" si="31"/>
        <v>0</v>
      </c>
      <c r="G80" s="75">
        <f t="shared" si="32"/>
        <v>0</v>
      </c>
      <c r="H80" s="75">
        <f t="shared" si="33"/>
        <v>0</v>
      </c>
      <c r="I80" s="75">
        <v>-4069.8</v>
      </c>
      <c r="J80" s="75">
        <v>-11769.9</v>
      </c>
      <c r="K80" s="75">
        <v>-12555</v>
      </c>
      <c r="L80" s="75">
        <v>-16472.5</v>
      </c>
      <c r="M80" s="75">
        <v>-19234.400000000001</v>
      </c>
      <c r="N80" s="75">
        <v>-14895.7</v>
      </c>
      <c r="O80" s="150"/>
      <c r="P80" s="176" t="s">
        <v>59</v>
      </c>
      <c r="R80" s="17"/>
      <c r="S80" s="17"/>
      <c r="Y80" s="78"/>
      <c r="Z80" s="80"/>
      <c r="AA80" s="72"/>
      <c r="AL80" s="72"/>
      <c r="AM80" s="72"/>
      <c r="AO80" s="7"/>
    </row>
    <row r="81" spans="1:41" s="6" customFormat="1" ht="12.2" customHeight="1">
      <c r="A81" s="260" t="s">
        <v>57</v>
      </c>
      <c r="B81" s="245"/>
      <c r="C81" s="195">
        <v>989</v>
      </c>
      <c r="D81" s="75">
        <v>4879</v>
      </c>
      <c r="E81" s="75">
        <v>5073</v>
      </c>
      <c r="F81" s="75">
        <f t="shared" si="31"/>
        <v>0</v>
      </c>
      <c r="G81" s="75">
        <f t="shared" si="32"/>
        <v>0</v>
      </c>
      <c r="H81" s="75">
        <f t="shared" si="33"/>
        <v>0</v>
      </c>
      <c r="I81" s="75">
        <v>67621.600000000006</v>
      </c>
      <c r="J81" s="75">
        <v>59609.43</v>
      </c>
      <c r="K81" s="75">
        <v>61428.6</v>
      </c>
      <c r="L81" s="75">
        <v>64733.599999999999</v>
      </c>
      <c r="M81" s="75">
        <v>66350</v>
      </c>
      <c r="N81" s="75">
        <v>73317.7</v>
      </c>
      <c r="O81" s="150"/>
      <c r="P81" s="176" t="s">
        <v>60</v>
      </c>
      <c r="R81" s="17"/>
      <c r="S81" s="17"/>
      <c r="Y81" s="78"/>
      <c r="Z81" s="80"/>
      <c r="AA81" s="72"/>
      <c r="AL81" s="72"/>
      <c r="AM81" s="72"/>
      <c r="AO81" s="7"/>
    </row>
    <row r="82" spans="1:41" s="6" customFormat="1" ht="12.2" customHeight="1">
      <c r="A82" s="260" t="s">
        <v>26</v>
      </c>
      <c r="B82" s="245"/>
      <c r="C82" s="195"/>
      <c r="D82" s="75">
        <v>2431</v>
      </c>
      <c r="E82" s="75">
        <v>2170</v>
      </c>
      <c r="F82" s="75">
        <f t="shared" si="31"/>
        <v>0</v>
      </c>
      <c r="G82" s="75">
        <f t="shared" si="32"/>
        <v>0</v>
      </c>
      <c r="H82" s="75">
        <f t="shared" si="33"/>
        <v>0</v>
      </c>
      <c r="I82" s="75">
        <v>-15.4</v>
      </c>
      <c r="J82" s="75">
        <v>-3.6</v>
      </c>
      <c r="K82" s="75">
        <v>-0.7</v>
      </c>
      <c r="L82" s="75">
        <v>-2.2000000000000002</v>
      </c>
      <c r="M82" s="75">
        <v>1.1000000000000001</v>
      </c>
      <c r="N82" s="75">
        <v>-1</v>
      </c>
      <c r="O82" s="150"/>
      <c r="P82" s="234" t="s">
        <v>27</v>
      </c>
      <c r="R82" s="50"/>
      <c r="S82" s="50"/>
      <c r="U82" s="44"/>
      <c r="V82" s="44"/>
      <c r="W82" s="44"/>
      <c r="X82" s="44"/>
      <c r="Y82" s="79"/>
      <c r="Z82" s="80"/>
      <c r="AA82" s="72"/>
      <c r="AL82" s="72"/>
      <c r="AM82" s="72"/>
      <c r="AO82" s="15"/>
    </row>
    <row r="83" spans="1:41" s="6" customFormat="1" ht="12.2" customHeight="1">
      <c r="A83" s="260" t="s">
        <v>28</v>
      </c>
      <c r="B83" s="245"/>
      <c r="C83" s="195">
        <v>-204</v>
      </c>
      <c r="D83" s="75">
        <v>-670</v>
      </c>
      <c r="E83" s="75">
        <v>1200</v>
      </c>
      <c r="F83" s="75">
        <f t="shared" si="31"/>
        <v>0</v>
      </c>
      <c r="G83" s="75">
        <f t="shared" si="32"/>
        <v>0</v>
      </c>
      <c r="H83" s="75">
        <f t="shared" si="33"/>
        <v>0</v>
      </c>
      <c r="I83" s="75">
        <v>27636.3</v>
      </c>
      <c r="J83" s="75">
        <v>44042</v>
      </c>
      <c r="K83" s="75">
        <v>37193.699999999997</v>
      </c>
      <c r="L83" s="75">
        <v>67398</v>
      </c>
      <c r="M83" s="75">
        <v>83115.7</v>
      </c>
      <c r="N83" s="75">
        <v>63374.2</v>
      </c>
      <c r="O83" s="150"/>
      <c r="P83" s="234" t="s">
        <v>29</v>
      </c>
      <c r="R83" s="17"/>
      <c r="S83" s="17"/>
      <c r="U83" s="44"/>
      <c r="V83" s="44"/>
      <c r="W83" s="44"/>
      <c r="X83" s="44"/>
      <c r="Y83" s="79"/>
      <c r="Z83" s="80"/>
      <c r="AA83" s="72"/>
      <c r="AL83" s="72"/>
      <c r="AM83" s="72"/>
      <c r="AO83" s="15"/>
    </row>
    <row r="84" spans="1:41" s="6" customFormat="1" ht="12.2" customHeight="1">
      <c r="A84" s="260" t="s">
        <v>30</v>
      </c>
      <c r="B84" s="245"/>
      <c r="C84" s="195">
        <v>80.3</v>
      </c>
      <c r="D84" s="183" t="s">
        <v>61</v>
      </c>
      <c r="E84" s="183" t="s">
        <v>61</v>
      </c>
      <c r="F84" s="75">
        <f t="shared" si="31"/>
        <v>0</v>
      </c>
      <c r="G84" s="75">
        <f t="shared" si="32"/>
        <v>0</v>
      </c>
      <c r="H84" s="75">
        <f t="shared" si="33"/>
        <v>0</v>
      </c>
      <c r="I84" s="75">
        <v>-3162.6</v>
      </c>
      <c r="J84" s="75">
        <v>-4164.3999999999996</v>
      </c>
      <c r="K84" s="75">
        <v>-2871</v>
      </c>
      <c r="L84" s="75">
        <v>-2793</v>
      </c>
      <c r="M84" s="75">
        <v>-2469.1</v>
      </c>
      <c r="N84" s="75">
        <v>2792.4</v>
      </c>
      <c r="O84" s="150"/>
      <c r="P84" s="234" t="s">
        <v>31</v>
      </c>
      <c r="U84" s="44"/>
      <c r="V84" s="44"/>
      <c r="W84" s="44"/>
      <c r="X84" s="44"/>
      <c r="Y84" s="79"/>
      <c r="Z84" s="80"/>
      <c r="AA84" s="72"/>
      <c r="AL84" s="72"/>
      <c r="AM84" s="72"/>
      <c r="AO84" s="15"/>
    </row>
    <row r="85" spans="1:41" s="6" customFormat="1" ht="12.2" customHeight="1">
      <c r="A85" s="260" t="s">
        <v>279</v>
      </c>
      <c r="B85" s="245"/>
      <c r="C85" s="195"/>
      <c r="D85" s="183"/>
      <c r="E85" s="183"/>
      <c r="F85" s="75"/>
      <c r="G85" s="75"/>
      <c r="H85" s="75"/>
      <c r="I85" s="75">
        <f t="shared" ref="I85:N85" si="34">-(I78+I82+I83+I84)</f>
        <v>11478.4</v>
      </c>
      <c r="J85" s="159">
        <f t="shared" si="34"/>
        <v>-0.1000000000003638</v>
      </c>
      <c r="K85" s="159">
        <f t="shared" si="34"/>
        <v>-9.9999999998544808E-2</v>
      </c>
      <c r="L85" s="159">
        <f t="shared" si="34"/>
        <v>-0.10000000000582077</v>
      </c>
      <c r="M85" s="159">
        <f t="shared" si="34"/>
        <v>-5.9117155615240335E-12</v>
      </c>
      <c r="N85" s="159">
        <f t="shared" si="34"/>
        <v>8.6401996668428183E-12</v>
      </c>
      <c r="O85" s="150"/>
      <c r="P85" s="234" t="s">
        <v>282</v>
      </c>
      <c r="U85" s="44"/>
      <c r="V85" s="44"/>
      <c r="W85" s="44"/>
      <c r="X85" s="44"/>
      <c r="Y85" s="79"/>
      <c r="Z85" s="80"/>
      <c r="AA85" s="72"/>
      <c r="AL85" s="72"/>
      <c r="AM85" s="72"/>
      <c r="AO85" s="15"/>
    </row>
    <row r="86" spans="1:41" s="6" customFormat="1" ht="12.2" customHeight="1">
      <c r="A86" s="150" t="s">
        <v>280</v>
      </c>
      <c r="B86" s="150"/>
      <c r="C86" s="195">
        <v>45.200000000000117</v>
      </c>
      <c r="D86" s="183">
        <f>D78+D82+D83</f>
        <v>1</v>
      </c>
      <c r="E86" s="183">
        <f>E78+E82+E83</f>
        <v>1</v>
      </c>
      <c r="F86" s="183">
        <f>F78+F82+F83+F84</f>
        <v>0</v>
      </c>
      <c r="G86" s="183">
        <f>G78+G82+G83+G84</f>
        <v>0</v>
      </c>
      <c r="H86" s="183" t="s">
        <v>141</v>
      </c>
      <c r="I86" s="159">
        <f>SUM(I78,I82,I83,I84,I85)</f>
        <v>0</v>
      </c>
      <c r="J86" s="159">
        <f>SUM(J78,J82,J83,J84,J85)</f>
        <v>0</v>
      </c>
      <c r="K86" s="159">
        <f t="shared" ref="K86:N86" si="35">SUM(K78,K82,K83,K84,K85)</f>
        <v>0</v>
      </c>
      <c r="L86" s="159">
        <f t="shared" si="35"/>
        <v>0</v>
      </c>
      <c r="M86" s="159">
        <f t="shared" si="35"/>
        <v>0</v>
      </c>
      <c r="N86" s="159">
        <f t="shared" si="35"/>
        <v>0</v>
      </c>
      <c r="O86" s="183"/>
      <c r="P86" s="234" t="s">
        <v>281</v>
      </c>
      <c r="Y86" s="78"/>
      <c r="Z86" s="80"/>
      <c r="AA86" s="72"/>
      <c r="AL86" s="72"/>
      <c r="AM86" s="72"/>
      <c r="AO86" s="15"/>
    </row>
    <row r="87" spans="1:41" s="6" customFormat="1" ht="20.45" customHeight="1">
      <c r="A87" s="165" t="s">
        <v>92</v>
      </c>
      <c r="B87" s="188" t="s">
        <v>151</v>
      </c>
      <c r="C87" s="181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 t="s">
        <v>173</v>
      </c>
      <c r="P87" s="189" t="s">
        <v>183</v>
      </c>
    </row>
    <row r="88" spans="1:41" s="6" customFormat="1" ht="12.2" customHeight="1">
      <c r="A88" s="260" t="s">
        <v>24</v>
      </c>
      <c r="B88" s="245"/>
      <c r="C88" s="195">
        <v>85.300000000000125</v>
      </c>
      <c r="D88" s="75">
        <f t="shared" ref="D88:H88" si="36">SUM(D89:D91)</f>
        <v>559</v>
      </c>
      <c r="E88" s="75">
        <f t="shared" si="36"/>
        <v>338</v>
      </c>
      <c r="F88" s="75">
        <f t="shared" si="36"/>
        <v>1991</v>
      </c>
      <c r="G88" s="75">
        <f t="shared" si="36"/>
        <v>2179</v>
      </c>
      <c r="H88" s="75">
        <f t="shared" si="36"/>
        <v>946</v>
      </c>
      <c r="I88" s="75">
        <v>1929</v>
      </c>
      <c r="J88" s="75">
        <v>-192</v>
      </c>
      <c r="K88" s="75">
        <v>1936</v>
      </c>
      <c r="L88" s="75">
        <v>3440</v>
      </c>
      <c r="M88" s="75">
        <v>2999</v>
      </c>
      <c r="N88" s="75">
        <v>1967</v>
      </c>
      <c r="O88" s="150"/>
      <c r="P88" s="234" t="s">
        <v>25</v>
      </c>
    </row>
    <row r="89" spans="1:41" s="6" customFormat="1" ht="12.2" customHeight="1">
      <c r="A89" s="260" t="s">
        <v>189</v>
      </c>
      <c r="B89" s="245"/>
      <c r="C89" s="195">
        <v>1267.5999999999999</v>
      </c>
      <c r="D89" s="75">
        <v>1410</v>
      </c>
      <c r="E89" s="75">
        <v>1190</v>
      </c>
      <c r="F89" s="75">
        <v>3252</v>
      </c>
      <c r="G89" s="75">
        <v>3507</v>
      </c>
      <c r="H89" s="75">
        <f>3979-1313</f>
        <v>2666</v>
      </c>
      <c r="I89" s="75">
        <v>4982</v>
      </c>
      <c r="J89" s="75">
        <v>2975</v>
      </c>
      <c r="K89" s="75">
        <v>5506</v>
      </c>
      <c r="L89" s="75">
        <v>7805</v>
      </c>
      <c r="M89" s="75">
        <v>7824</v>
      </c>
      <c r="N89" s="75">
        <v>6714</v>
      </c>
      <c r="O89" s="150"/>
      <c r="P89" s="261" t="s">
        <v>58</v>
      </c>
      <c r="R89" s="17"/>
      <c r="S89" s="17"/>
    </row>
    <row r="90" spans="1:41" s="6" customFormat="1" ht="12.2" customHeight="1">
      <c r="A90" s="260" t="s">
        <v>56</v>
      </c>
      <c r="B90" s="245"/>
      <c r="C90" s="195">
        <v>-361.7</v>
      </c>
      <c r="D90" s="75">
        <v>-208</v>
      </c>
      <c r="E90" s="75">
        <v>-150</v>
      </c>
      <c r="F90" s="75">
        <v>-393</v>
      </c>
      <c r="G90" s="75">
        <v>-256</v>
      </c>
      <c r="H90" s="75">
        <v>-309</v>
      </c>
      <c r="I90" s="75">
        <v>-1061</v>
      </c>
      <c r="J90" s="75">
        <v>-1124</v>
      </c>
      <c r="K90" s="75">
        <v>-1377</v>
      </c>
      <c r="L90" s="75">
        <v>-1591</v>
      </c>
      <c r="M90" s="75">
        <v>-1716</v>
      </c>
      <c r="N90" s="75">
        <v>-1246</v>
      </c>
      <c r="O90" s="150"/>
      <c r="P90" s="176" t="s">
        <v>59</v>
      </c>
      <c r="R90" s="17"/>
      <c r="S90" s="17"/>
      <c r="Y90" s="54"/>
    </row>
    <row r="91" spans="1:41" s="6" customFormat="1" ht="12.2" customHeight="1">
      <c r="A91" s="260" t="s">
        <v>57</v>
      </c>
      <c r="B91" s="245"/>
      <c r="C91" s="195">
        <v>989</v>
      </c>
      <c r="D91" s="75">
        <v>-643</v>
      </c>
      <c r="E91" s="75">
        <v>-702</v>
      </c>
      <c r="F91" s="75">
        <v>-868</v>
      </c>
      <c r="G91" s="75">
        <v>-1072</v>
      </c>
      <c r="H91" s="75">
        <v>-1411</v>
      </c>
      <c r="I91" s="75">
        <v>-1992</v>
      </c>
      <c r="J91" s="75">
        <v>-2044</v>
      </c>
      <c r="K91" s="75">
        <v>-2193</v>
      </c>
      <c r="L91" s="75">
        <v>-2774</v>
      </c>
      <c r="M91" s="75">
        <v>-3109</v>
      </c>
      <c r="N91" s="75">
        <v>-3501</v>
      </c>
      <c r="O91" s="150"/>
      <c r="P91" s="176" t="s">
        <v>60</v>
      </c>
      <c r="R91" s="17"/>
      <c r="S91" s="17"/>
      <c r="Y91" s="54"/>
    </row>
    <row r="92" spans="1:41" s="6" customFormat="1" ht="12.2" customHeight="1">
      <c r="A92" s="260" t="s">
        <v>26</v>
      </c>
      <c r="B92" s="245"/>
      <c r="C92" s="195"/>
      <c r="D92" s="75">
        <v>4</v>
      </c>
      <c r="E92" s="75">
        <v>8</v>
      </c>
      <c r="F92" s="75">
        <v>-6</v>
      </c>
      <c r="G92" s="75">
        <v>-37</v>
      </c>
      <c r="H92" s="75">
        <v>318</v>
      </c>
      <c r="I92" s="75">
        <v>-20</v>
      </c>
      <c r="J92" s="75">
        <v>21</v>
      </c>
      <c r="K92" s="75">
        <v>-25</v>
      </c>
      <c r="L92" s="75">
        <v>-56</v>
      </c>
      <c r="M92" s="75">
        <v>-33</v>
      </c>
      <c r="N92" s="75">
        <v>-40</v>
      </c>
      <c r="O92" s="150"/>
      <c r="P92" s="234" t="s">
        <v>27</v>
      </c>
      <c r="R92" s="17"/>
      <c r="S92" s="17"/>
      <c r="Y92" s="70"/>
    </row>
    <row r="93" spans="1:41" s="6" customFormat="1" ht="12.2" customHeight="1">
      <c r="A93" s="260" t="s">
        <v>28</v>
      </c>
      <c r="B93" s="245"/>
      <c r="C93" s="195">
        <v>-204</v>
      </c>
      <c r="D93" s="75">
        <v>-100</v>
      </c>
      <c r="E93" s="75">
        <v>138</v>
      </c>
      <c r="F93" s="75">
        <v>-578</v>
      </c>
      <c r="G93" s="75">
        <v>-1172</v>
      </c>
      <c r="H93" s="75">
        <v>1058</v>
      </c>
      <c r="I93" s="75">
        <v>-1436</v>
      </c>
      <c r="J93" s="75">
        <v>908</v>
      </c>
      <c r="K93" s="75">
        <v>-1621</v>
      </c>
      <c r="L93" s="75">
        <v>-2598</v>
      </c>
      <c r="M93" s="75">
        <v>-2287</v>
      </c>
      <c r="N93" s="75">
        <v>2998</v>
      </c>
      <c r="O93" s="150"/>
      <c r="P93" s="234" t="s">
        <v>29</v>
      </c>
      <c r="R93" s="51"/>
      <c r="S93" s="51"/>
      <c r="Y93" s="54"/>
    </row>
    <row r="94" spans="1:41" s="6" customFormat="1" ht="12.2" customHeight="1">
      <c r="A94" s="260" t="s">
        <v>30</v>
      </c>
      <c r="B94" s="245"/>
      <c r="C94" s="195">
        <v>80.3</v>
      </c>
      <c r="D94" s="75">
        <v>-206</v>
      </c>
      <c r="E94" s="75">
        <v>-161</v>
      </c>
      <c r="F94" s="75">
        <v>-330</v>
      </c>
      <c r="G94" s="75">
        <v>-121</v>
      </c>
      <c r="H94" s="75">
        <v>82</v>
      </c>
      <c r="I94" s="75">
        <v>229</v>
      </c>
      <c r="J94" s="75">
        <v>-439</v>
      </c>
      <c r="K94" s="75">
        <v>286</v>
      </c>
      <c r="L94" s="75">
        <v>-212</v>
      </c>
      <c r="M94" s="75">
        <v>-282</v>
      </c>
      <c r="N94" s="75">
        <v>-201</v>
      </c>
      <c r="O94" s="150"/>
      <c r="P94" s="234" t="s">
        <v>31</v>
      </c>
      <c r="R94" s="17"/>
      <c r="S94" s="17"/>
      <c r="Y94" s="54"/>
    </row>
    <row r="95" spans="1:41" s="6" customFormat="1" ht="12.2" customHeight="1">
      <c r="A95" s="260" t="s">
        <v>279</v>
      </c>
      <c r="B95" s="245"/>
      <c r="C95" s="195"/>
      <c r="D95" s="75"/>
      <c r="E95" s="75"/>
      <c r="F95" s="75"/>
      <c r="G95" s="75"/>
      <c r="H95" s="75"/>
      <c r="I95" s="75">
        <f>-(I88+I92+I93+I94)</f>
        <v>-702</v>
      </c>
      <c r="J95" s="75">
        <f t="shared" ref="J95:N95" si="37">-(J88+J92+J93+J94)</f>
        <v>-298</v>
      </c>
      <c r="K95" s="75">
        <f t="shared" si="37"/>
        <v>-576</v>
      </c>
      <c r="L95" s="75">
        <f t="shared" si="37"/>
        <v>-574</v>
      </c>
      <c r="M95" s="75">
        <f t="shared" si="37"/>
        <v>-397</v>
      </c>
      <c r="N95" s="75">
        <f t="shared" si="37"/>
        <v>-4724</v>
      </c>
      <c r="O95" s="150"/>
      <c r="P95" s="234" t="s">
        <v>282</v>
      </c>
      <c r="R95" s="17"/>
      <c r="S95" s="17"/>
      <c r="Y95" s="54"/>
    </row>
    <row r="96" spans="1:41" s="6" customFormat="1" ht="12.2" customHeight="1">
      <c r="A96" s="150" t="s">
        <v>280</v>
      </c>
      <c r="B96" s="150"/>
      <c r="C96" s="195">
        <v>45.200000000000117</v>
      </c>
      <c r="D96" s="75">
        <f t="shared" ref="D96:H96" si="38">D88+D92+D93+D94</f>
        <v>257</v>
      </c>
      <c r="E96" s="75">
        <f t="shared" si="38"/>
        <v>323</v>
      </c>
      <c r="F96" s="75">
        <f t="shared" si="38"/>
        <v>1077</v>
      </c>
      <c r="G96" s="75">
        <f t="shared" si="38"/>
        <v>849</v>
      </c>
      <c r="H96" s="75">
        <f t="shared" si="38"/>
        <v>2404</v>
      </c>
      <c r="I96" s="159">
        <f>SUM(I88,I92,I93,I94,I95)</f>
        <v>0</v>
      </c>
      <c r="J96" s="159">
        <f t="shared" ref="J96:N96" si="39">SUM(J88,J92,J93,J94,J95)</f>
        <v>0</v>
      </c>
      <c r="K96" s="159">
        <f t="shared" si="39"/>
        <v>0</v>
      </c>
      <c r="L96" s="159">
        <f t="shared" si="39"/>
        <v>0</v>
      </c>
      <c r="M96" s="159">
        <f t="shared" si="39"/>
        <v>0</v>
      </c>
      <c r="N96" s="159">
        <f t="shared" si="39"/>
        <v>0</v>
      </c>
      <c r="O96" s="150"/>
      <c r="P96" s="234" t="s">
        <v>281</v>
      </c>
      <c r="R96" s="17"/>
      <c r="S96" s="17"/>
      <c r="Y96" s="54"/>
    </row>
    <row r="97" spans="1:25" s="6" customFormat="1" ht="20.45" customHeight="1">
      <c r="A97" s="165" t="s">
        <v>94</v>
      </c>
      <c r="B97" s="188" t="s">
        <v>153</v>
      </c>
      <c r="C97" s="181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 t="s">
        <v>154</v>
      </c>
      <c r="P97" s="189" t="s">
        <v>95</v>
      </c>
      <c r="Y97" s="54"/>
    </row>
    <row r="98" spans="1:25" s="6" customFormat="1" ht="12.2" customHeight="1">
      <c r="A98" s="260" t="s">
        <v>24</v>
      </c>
      <c r="B98" s="245"/>
      <c r="C98" s="195">
        <v>85.300000000000125</v>
      </c>
      <c r="D98" s="75">
        <f t="shared" ref="D98:I98" si="40">D99+D100+D101</f>
        <v>-910.55409797199934</v>
      </c>
      <c r="E98" s="75">
        <f t="shared" si="40"/>
        <v>-1215.510720106696</v>
      </c>
      <c r="F98" s="75">
        <f t="shared" si="40"/>
        <v>-1152.2000000000003</v>
      </c>
      <c r="G98" s="75">
        <f t="shared" si="40"/>
        <v>-913.20000000000027</v>
      </c>
      <c r="H98" s="75">
        <f t="shared" si="40"/>
        <v>-417.39999999999964</v>
      </c>
      <c r="I98" s="75">
        <f t="shared" si="40"/>
        <v>764.40000000000009</v>
      </c>
      <c r="J98" s="75">
        <f>SUM(J99:J101)</f>
        <v>-712.5</v>
      </c>
      <c r="K98" s="75">
        <f>SUM(K99:K101)</f>
        <v>-690.90000000000009</v>
      </c>
      <c r="L98" s="75">
        <f>SUM(L99:L101)</f>
        <v>-2192.5</v>
      </c>
      <c r="M98" s="75">
        <f>SUM(M99:M101)</f>
        <v>-2291.1000000000004</v>
      </c>
      <c r="N98" s="75">
        <f>SUM(N99:N101)</f>
        <v>-1453.6000000000004</v>
      </c>
      <c r="O98" s="150"/>
      <c r="P98" s="234" t="s">
        <v>25</v>
      </c>
      <c r="Y98" s="54"/>
    </row>
    <row r="99" spans="1:25" s="6" customFormat="1" ht="12.2" customHeight="1">
      <c r="A99" s="260" t="s">
        <v>189</v>
      </c>
      <c r="B99" s="245"/>
      <c r="C99" s="195">
        <v>1267.5999999999999</v>
      </c>
      <c r="D99" s="75">
        <v>-1948.6655967003721</v>
      </c>
      <c r="E99" s="75">
        <v>-2200.8889916003786</v>
      </c>
      <c r="F99" s="75">
        <v>-2901.3</v>
      </c>
      <c r="G99" s="75">
        <v>-3095.4</v>
      </c>
      <c r="H99" s="183">
        <v>-3551.4</v>
      </c>
      <c r="I99" s="183">
        <f>-3234.4-340.3</f>
        <v>-3574.7000000000003</v>
      </c>
      <c r="J99" s="75">
        <f>-3504.4-351.8</f>
        <v>-3856.2000000000003</v>
      </c>
      <c r="K99" s="75">
        <f>-3652.8-312.1</f>
        <v>-3964.9</v>
      </c>
      <c r="L99" s="75">
        <f>-4625.9-103.6</f>
        <v>-4729.5</v>
      </c>
      <c r="M99" s="75">
        <f>-4930-260.3</f>
        <v>-5190.3</v>
      </c>
      <c r="N99" s="75">
        <f>-4633.3-432.3</f>
        <v>-5065.6000000000004</v>
      </c>
      <c r="O99" s="150"/>
      <c r="P99" s="261" t="s">
        <v>58</v>
      </c>
      <c r="R99" s="17"/>
      <c r="S99" s="17"/>
    </row>
    <row r="100" spans="1:25" s="6" customFormat="1" ht="12.2" customHeight="1">
      <c r="A100" s="260" t="s">
        <v>56</v>
      </c>
      <c r="B100" s="245"/>
      <c r="C100" s="195">
        <v>-361.7</v>
      </c>
      <c r="D100" s="75">
        <v>252.91467182811317</v>
      </c>
      <c r="E100" s="75">
        <v>229.35541043015013</v>
      </c>
      <c r="F100" s="75">
        <f>609.4-35.2</f>
        <v>574.19999999999993</v>
      </c>
      <c r="G100" s="75">
        <f>700.5-8.9</f>
        <v>691.6</v>
      </c>
      <c r="H100" s="183">
        <f>773.6-7.9</f>
        <v>765.7</v>
      </c>
      <c r="I100" s="183">
        <v>919.2</v>
      </c>
      <c r="J100" s="75">
        <v>876.2</v>
      </c>
      <c r="K100" s="75">
        <v>1098.0999999999999</v>
      </c>
      <c r="L100" s="75">
        <v>1217.2</v>
      </c>
      <c r="M100" s="75">
        <v>1076.2</v>
      </c>
      <c r="N100" s="75">
        <v>1305.5999999999999</v>
      </c>
      <c r="O100" s="150"/>
      <c r="P100" s="176" t="s">
        <v>59</v>
      </c>
      <c r="R100" s="17"/>
      <c r="S100" s="17"/>
    </row>
    <row r="101" spans="1:25" s="6" customFormat="1" ht="12.2" customHeight="1">
      <c r="A101" s="260" t="s">
        <v>57</v>
      </c>
      <c r="B101" s="245"/>
      <c r="C101" s="195">
        <v>989</v>
      </c>
      <c r="D101" s="75">
        <v>785.19682690025968</v>
      </c>
      <c r="E101" s="75">
        <v>756.02286106353245</v>
      </c>
      <c r="F101" s="75">
        <f>1299.4-124.5</f>
        <v>1174.9000000000001</v>
      </c>
      <c r="G101" s="75">
        <f>1623-132.4</f>
        <v>1490.6</v>
      </c>
      <c r="H101" s="183">
        <f>2505.5-137.2</f>
        <v>2368.3000000000002</v>
      </c>
      <c r="I101" s="183">
        <v>3419.9</v>
      </c>
      <c r="J101" s="75">
        <v>2267.5</v>
      </c>
      <c r="K101" s="75">
        <v>2175.9</v>
      </c>
      <c r="L101" s="75">
        <v>1319.8</v>
      </c>
      <c r="M101" s="75">
        <v>1823</v>
      </c>
      <c r="N101" s="75">
        <v>2306.4</v>
      </c>
      <c r="O101" s="150"/>
      <c r="P101" s="176" t="s">
        <v>60</v>
      </c>
      <c r="R101" s="17"/>
      <c r="S101" s="17"/>
    </row>
    <row r="102" spans="1:25" s="6" customFormat="1" ht="12.2" customHeight="1">
      <c r="A102" s="260" t="s">
        <v>26</v>
      </c>
      <c r="B102" s="245"/>
      <c r="C102" s="195"/>
      <c r="D102" s="75">
        <v>289.09491341951781</v>
      </c>
      <c r="E102" s="75">
        <v>660.21380305952982</v>
      </c>
      <c r="F102" s="75">
        <v>418.1</v>
      </c>
      <c r="G102" s="75">
        <v>274.8</v>
      </c>
      <c r="H102" s="183">
        <v>401.5</v>
      </c>
      <c r="I102" s="183">
        <v>397.5</v>
      </c>
      <c r="J102" s="75">
        <v>719</v>
      </c>
      <c r="K102" s="75">
        <v>846.1</v>
      </c>
      <c r="L102" s="75">
        <v>536.20000000000005</v>
      </c>
      <c r="M102" s="75">
        <v>603.29999999999995</v>
      </c>
      <c r="N102" s="75">
        <v>350</v>
      </c>
      <c r="O102" s="150"/>
      <c r="P102" s="234" t="s">
        <v>27</v>
      </c>
      <c r="R102" s="51"/>
      <c r="S102" s="51"/>
    </row>
    <row r="103" spans="1:25" s="6" customFormat="1" ht="12.2" customHeight="1">
      <c r="A103" s="260" t="s">
        <v>28</v>
      </c>
      <c r="B103" s="245"/>
      <c r="C103" s="195">
        <v>-204</v>
      </c>
      <c r="D103" s="75">
        <v>833.03479813414356</v>
      </c>
      <c r="E103" s="75">
        <v>638.2288057898254</v>
      </c>
      <c r="F103" s="75">
        <v>680.2</v>
      </c>
      <c r="G103" s="75">
        <v>701.9</v>
      </c>
      <c r="H103" s="183">
        <v>-7.6</v>
      </c>
      <c r="I103" s="183">
        <v>-920</v>
      </c>
      <c r="J103" s="75">
        <v>596</v>
      </c>
      <c r="K103" s="75">
        <v>480.4</v>
      </c>
      <c r="L103" s="75">
        <v>1619.6</v>
      </c>
      <c r="M103" s="75">
        <v>1290.5</v>
      </c>
      <c r="N103" s="75">
        <v>1104.5</v>
      </c>
      <c r="O103" s="150"/>
      <c r="P103" s="234" t="s">
        <v>29</v>
      </c>
      <c r="R103" s="17"/>
      <c r="S103" s="17"/>
    </row>
    <row r="104" spans="1:25" s="6" customFormat="1" ht="12.2" customHeight="1">
      <c r="A104" s="260" t="s">
        <v>30</v>
      </c>
      <c r="B104" s="245"/>
      <c r="C104" s="195">
        <v>80.3</v>
      </c>
      <c r="D104" s="75">
        <v>-211.57561358166208</v>
      </c>
      <c r="E104" s="75">
        <v>-82.931888742658884</v>
      </c>
      <c r="F104" s="75">
        <v>28.2</v>
      </c>
      <c r="G104" s="75">
        <v>-41.5</v>
      </c>
      <c r="H104" s="183">
        <v>114.7</v>
      </c>
      <c r="I104" s="183">
        <v>241.9</v>
      </c>
      <c r="J104" s="75">
        <v>158</v>
      </c>
      <c r="K104" s="75">
        <v>109.4</v>
      </c>
      <c r="L104" s="75">
        <v>-36.799999999999997</v>
      </c>
      <c r="M104" s="75">
        <v>397.4</v>
      </c>
      <c r="N104" s="75">
        <v>0.6</v>
      </c>
      <c r="O104" s="150"/>
      <c r="P104" s="234" t="s">
        <v>31</v>
      </c>
    </row>
    <row r="105" spans="1:25" s="6" customFormat="1" ht="12.2" customHeight="1">
      <c r="A105" s="260" t="s">
        <v>279</v>
      </c>
      <c r="B105" s="245"/>
      <c r="C105" s="195"/>
      <c r="D105" s="75"/>
      <c r="E105" s="75"/>
      <c r="F105" s="75"/>
      <c r="G105" s="75"/>
      <c r="H105" s="183"/>
      <c r="I105" s="183">
        <f t="shared" ref="I105:N105" si="41">-(I98+I102+I103+I104)</f>
        <v>-483.80000000000007</v>
      </c>
      <c r="J105" s="75">
        <f t="shared" si="41"/>
        <v>-760.5</v>
      </c>
      <c r="K105" s="75">
        <f t="shared" si="41"/>
        <v>-744.99999999999989</v>
      </c>
      <c r="L105" s="75">
        <f t="shared" si="41"/>
        <v>73.500000000000043</v>
      </c>
      <c r="M105" s="159">
        <f t="shared" si="41"/>
        <v>-9.999999999956799E-2</v>
      </c>
      <c r="N105" s="159">
        <f t="shared" si="41"/>
        <v>-1.4999999999996363</v>
      </c>
      <c r="O105" s="150"/>
      <c r="P105" s="234" t="s">
        <v>282</v>
      </c>
    </row>
    <row r="106" spans="1:25" s="6" customFormat="1" ht="12.2" customHeight="1">
      <c r="A106" s="150" t="s">
        <v>280</v>
      </c>
      <c r="B106" s="150"/>
      <c r="C106" s="195">
        <v>45.200000000000117</v>
      </c>
      <c r="D106" s="159">
        <v>0</v>
      </c>
      <c r="E106" s="159">
        <v>0</v>
      </c>
      <c r="F106" s="183">
        <f t="shared" ref="F106:H106" si="42">F98+F102+F103+F104</f>
        <v>-25.700000000000205</v>
      </c>
      <c r="G106" s="183">
        <f t="shared" si="42"/>
        <v>21.999999999999659</v>
      </c>
      <c r="H106" s="183">
        <f t="shared" si="42"/>
        <v>91.200000000000358</v>
      </c>
      <c r="I106" s="263">
        <f>SUM(I98,I102,I103,I104,I105)</f>
        <v>0</v>
      </c>
      <c r="J106" s="263">
        <f>SUM(J98,J102,J103,J104,J105)</f>
        <v>0</v>
      </c>
      <c r="K106" s="263">
        <f>SUM(K98,K102,K103,K104,K105)</f>
        <v>0</v>
      </c>
      <c r="L106" s="263">
        <f t="shared" ref="L106:N106" si="43">SUM(L98,L102,L103,L104,L105)</f>
        <v>0</v>
      </c>
      <c r="M106" s="263">
        <f t="shared" si="43"/>
        <v>0</v>
      </c>
      <c r="N106" s="263">
        <f t="shared" si="43"/>
        <v>0</v>
      </c>
      <c r="O106" s="150"/>
      <c r="P106" s="234" t="s">
        <v>281</v>
      </c>
    </row>
    <row r="107" spans="1:25" s="6" customFormat="1" ht="20.45" customHeight="1">
      <c r="A107" s="165" t="s">
        <v>306</v>
      </c>
      <c r="B107" s="188" t="s">
        <v>151</v>
      </c>
      <c r="C107" s="181"/>
      <c r="D107" s="173"/>
      <c r="E107" s="173"/>
      <c r="F107" s="173"/>
      <c r="G107" s="173"/>
      <c r="H107" s="173"/>
      <c r="I107" s="173"/>
      <c r="J107" s="150"/>
      <c r="K107" s="173"/>
      <c r="L107" s="173"/>
      <c r="M107" s="173"/>
      <c r="N107" s="173"/>
      <c r="O107" s="173" t="s">
        <v>173</v>
      </c>
      <c r="P107" s="189" t="s">
        <v>307</v>
      </c>
    </row>
    <row r="108" spans="1:25" s="6" customFormat="1" ht="12.2" customHeight="1">
      <c r="A108" s="260" t="s">
        <v>24</v>
      </c>
      <c r="B108" s="245"/>
      <c r="C108" s="195">
        <v>85.300000000000125</v>
      </c>
      <c r="D108" s="75">
        <f t="shared" ref="D108:I108" si="44">SUM(D109:D111)</f>
        <v>20943</v>
      </c>
      <c r="E108" s="75">
        <f t="shared" si="44"/>
        <v>27488</v>
      </c>
      <c r="F108" s="75">
        <f t="shared" si="44"/>
        <v>27234</v>
      </c>
      <c r="G108" s="75">
        <f t="shared" si="44"/>
        <v>36312</v>
      </c>
      <c r="H108" s="75">
        <f t="shared" si="44"/>
        <v>41706</v>
      </c>
      <c r="I108" s="75">
        <f t="shared" si="44"/>
        <v>96804</v>
      </c>
      <c r="J108" s="75">
        <f>SUM(J109:J111)</f>
        <v>23255</v>
      </c>
      <c r="K108" s="75">
        <v>87184</v>
      </c>
      <c r="L108" s="75">
        <f>SUM(L109:L111)</f>
        <v>189201</v>
      </c>
      <c r="M108" s="75">
        <v>225794</v>
      </c>
      <c r="N108" s="75">
        <v>227816</v>
      </c>
      <c r="O108" s="150"/>
      <c r="P108" s="234" t="s">
        <v>25</v>
      </c>
      <c r="R108" s="17"/>
      <c r="S108" s="17"/>
    </row>
    <row r="109" spans="1:25" s="6" customFormat="1" ht="12.2" customHeight="1">
      <c r="A109" s="260" t="s">
        <v>189</v>
      </c>
      <c r="B109" s="245"/>
      <c r="C109" s="195">
        <v>1267.5999999999999</v>
      </c>
      <c r="D109" s="75">
        <v>28466</v>
      </c>
      <c r="E109" s="75">
        <v>43853</v>
      </c>
      <c r="F109" s="75">
        <v>57419</v>
      </c>
      <c r="G109" s="75">
        <v>59975</v>
      </c>
      <c r="H109" s="75">
        <f>84989-14074</f>
        <v>70915</v>
      </c>
      <c r="I109" s="75">
        <f>153507-13819</f>
        <v>139688</v>
      </c>
      <c r="J109" s="75">
        <f>93019-14255</f>
        <v>78764</v>
      </c>
      <c r="K109" s="75">
        <f>196661-21000</f>
        <v>175661</v>
      </c>
      <c r="L109" s="75">
        <f>318037-34482</f>
        <v>283555</v>
      </c>
      <c r="M109" s="75">
        <f>372000-50902</f>
        <v>321098</v>
      </c>
      <c r="N109" s="75">
        <f>383882-59349</f>
        <v>324533</v>
      </c>
      <c r="O109" s="150"/>
      <c r="P109" s="261" t="s">
        <v>58</v>
      </c>
      <c r="R109" s="17"/>
      <c r="S109" s="17"/>
    </row>
    <row r="110" spans="1:25" s="6" customFormat="1" ht="12.2" customHeight="1">
      <c r="A110" s="260" t="s">
        <v>56</v>
      </c>
      <c r="B110" s="245"/>
      <c r="C110" s="195">
        <v>-361.7</v>
      </c>
      <c r="D110" s="75">
        <v>-1516</v>
      </c>
      <c r="E110" s="75">
        <v>-8160</v>
      </c>
      <c r="F110" s="75">
        <v>-20805</v>
      </c>
      <c r="G110" s="75">
        <v>-10059</v>
      </c>
      <c r="H110" s="75">
        <v>-15430</v>
      </c>
      <c r="I110" s="75">
        <v>-24614</v>
      </c>
      <c r="J110" s="75">
        <v>-34262</v>
      </c>
      <c r="K110" s="75">
        <v>-47115</v>
      </c>
      <c r="L110" s="75">
        <v>-48306</v>
      </c>
      <c r="M110" s="75">
        <v>-44134</v>
      </c>
      <c r="N110" s="75">
        <v>-41224</v>
      </c>
      <c r="O110" s="150"/>
      <c r="P110" s="176" t="s">
        <v>59</v>
      </c>
      <c r="R110" s="17"/>
      <c r="S110" s="17"/>
    </row>
    <row r="111" spans="1:25" s="6" customFormat="1" ht="12.2" customHeight="1">
      <c r="A111" s="260" t="s">
        <v>57</v>
      </c>
      <c r="B111" s="245"/>
      <c r="C111" s="195">
        <v>989</v>
      </c>
      <c r="D111" s="75">
        <v>-6007</v>
      </c>
      <c r="E111" s="75">
        <v>-8205</v>
      </c>
      <c r="F111" s="75">
        <v>-9380</v>
      </c>
      <c r="G111" s="75">
        <v>-13604</v>
      </c>
      <c r="H111" s="75">
        <v>-13779</v>
      </c>
      <c r="I111" s="75">
        <v>-18270</v>
      </c>
      <c r="J111" s="75">
        <v>-21247</v>
      </c>
      <c r="K111" s="75">
        <v>-41362</v>
      </c>
      <c r="L111" s="75">
        <v>-46048</v>
      </c>
      <c r="M111" s="75">
        <v>-51170</v>
      </c>
      <c r="N111" s="75">
        <v>-55493</v>
      </c>
      <c r="O111" s="150"/>
      <c r="P111" s="176" t="s">
        <v>60</v>
      </c>
      <c r="R111" s="17"/>
      <c r="S111" s="17"/>
    </row>
    <row r="112" spans="1:25" s="6" customFormat="1" ht="12.2" customHeight="1">
      <c r="A112" s="260" t="s">
        <v>26</v>
      </c>
      <c r="B112" s="245"/>
      <c r="C112" s="195"/>
      <c r="D112" s="75">
        <v>-1160</v>
      </c>
      <c r="E112" s="75">
        <v>-2004</v>
      </c>
      <c r="F112" s="75">
        <v>-2742</v>
      </c>
      <c r="G112" s="75">
        <v>-3608</v>
      </c>
      <c r="H112" s="75">
        <v>-4118</v>
      </c>
      <c r="I112" s="75">
        <v>-4949</v>
      </c>
      <c r="J112" s="75">
        <v>-6538</v>
      </c>
      <c r="K112" s="75">
        <v>-7489</v>
      </c>
      <c r="L112" s="75">
        <v>-13121</v>
      </c>
      <c r="M112" s="75">
        <v>-22240</v>
      </c>
      <c r="N112" s="75">
        <v>-17403</v>
      </c>
      <c r="O112" s="150"/>
      <c r="P112" s="234" t="s">
        <v>27</v>
      </c>
      <c r="R112" s="51"/>
      <c r="S112" s="51"/>
    </row>
    <row r="113" spans="1:34" s="6" customFormat="1" ht="12.2" customHeight="1">
      <c r="A113" s="260" t="s">
        <v>28</v>
      </c>
      <c r="B113" s="245"/>
      <c r="C113" s="195">
        <v>-204</v>
      </c>
      <c r="D113" s="75">
        <v>-1594</v>
      </c>
      <c r="E113" s="75">
        <v>-2857</v>
      </c>
      <c r="F113" s="75">
        <v>-16058</v>
      </c>
      <c r="G113" s="75">
        <v>-33707</v>
      </c>
      <c r="H113" s="75">
        <v>-20661</v>
      </c>
      <c r="I113" s="75">
        <v>-82359</v>
      </c>
      <c r="J113" s="75">
        <v>8735</v>
      </c>
      <c r="K113" s="75">
        <v>-31379</v>
      </c>
      <c r="L113" s="75">
        <v>-214685</v>
      </c>
      <c r="M113" s="75">
        <v>-139371</v>
      </c>
      <c r="N113" s="75">
        <v>-180967</v>
      </c>
      <c r="O113" s="150"/>
      <c r="P113" s="234" t="s">
        <v>29</v>
      </c>
      <c r="R113" s="17"/>
      <c r="S113" s="17"/>
      <c r="V113" s="14"/>
      <c r="W113" s="14"/>
      <c r="X113" s="14"/>
      <c r="Y113" s="14"/>
      <c r="Z113" s="14"/>
      <c r="AA113" s="14"/>
      <c r="AB113" s="14"/>
    </row>
    <row r="114" spans="1:34" s="6" customFormat="1" ht="12.2" customHeight="1">
      <c r="A114" s="260" t="s">
        <v>30</v>
      </c>
      <c r="B114" s="245"/>
      <c r="C114" s="195">
        <v>80.3</v>
      </c>
      <c r="D114" s="75">
        <v>-2790</v>
      </c>
      <c r="E114" s="75">
        <v>-8333</v>
      </c>
      <c r="F114" s="75">
        <v>-3852</v>
      </c>
      <c r="G114" s="75">
        <v>5709</v>
      </c>
      <c r="H114" s="75">
        <v>-2782</v>
      </c>
      <c r="I114" s="75">
        <v>-7873</v>
      </c>
      <c r="J114" s="75">
        <v>4806</v>
      </c>
      <c r="K114" s="75">
        <v>-3923</v>
      </c>
      <c r="L114" s="75">
        <v>-13605</v>
      </c>
      <c r="M114" s="75">
        <v>-5653</v>
      </c>
      <c r="N114" s="75">
        <v>3548</v>
      </c>
      <c r="O114" s="150"/>
      <c r="P114" s="234" t="s">
        <v>31</v>
      </c>
      <c r="R114" s="17"/>
      <c r="S114" s="17"/>
    </row>
    <row r="115" spans="1:34" s="6" customFormat="1" ht="12.2" customHeight="1">
      <c r="A115" s="260" t="s">
        <v>279</v>
      </c>
      <c r="B115" s="245"/>
      <c r="C115" s="195"/>
      <c r="D115" s="75"/>
      <c r="E115" s="75"/>
      <c r="F115" s="75"/>
      <c r="G115" s="75"/>
      <c r="H115" s="75"/>
      <c r="I115" s="75">
        <f>-(I108+I112+I113+I114)</f>
        <v>-1623</v>
      </c>
      <c r="J115" s="75">
        <f t="shared" ref="J115:N115" si="45">-(J108+J112+J113+J114)</f>
        <v>-30258</v>
      </c>
      <c r="K115" s="75">
        <f t="shared" si="45"/>
        <v>-44393</v>
      </c>
      <c r="L115" s="75">
        <f t="shared" si="45"/>
        <v>52210</v>
      </c>
      <c r="M115" s="75">
        <f t="shared" si="45"/>
        <v>-58530</v>
      </c>
      <c r="N115" s="75">
        <f t="shared" si="45"/>
        <v>-32994</v>
      </c>
      <c r="O115" s="150"/>
      <c r="P115" s="234" t="s">
        <v>282</v>
      </c>
      <c r="R115" s="17"/>
      <c r="S115" s="17"/>
    </row>
    <row r="116" spans="1:34" s="6" customFormat="1" ht="12.2" customHeight="1">
      <c r="A116" s="150" t="s">
        <v>280</v>
      </c>
      <c r="B116" s="150"/>
      <c r="C116" s="195">
        <v>45.200000000000117</v>
      </c>
      <c r="D116" s="75">
        <f t="shared" ref="D116:H116" si="46">D108+D112+D113+D114</f>
        <v>15399</v>
      </c>
      <c r="E116" s="75">
        <f t="shared" si="46"/>
        <v>14294</v>
      </c>
      <c r="F116" s="75">
        <f t="shared" si="46"/>
        <v>4582</v>
      </c>
      <c r="G116" s="75">
        <f t="shared" si="46"/>
        <v>4706</v>
      </c>
      <c r="H116" s="75">
        <f t="shared" si="46"/>
        <v>14145</v>
      </c>
      <c r="I116" s="262">
        <f>SUM(I108,I112,I113,I114,I115)</f>
        <v>0</v>
      </c>
      <c r="J116" s="262">
        <f t="shared" ref="J116:N116" si="47">SUM(J108,J112,J113,J114,J115)</f>
        <v>0</v>
      </c>
      <c r="K116" s="262">
        <f t="shared" si="47"/>
        <v>0</v>
      </c>
      <c r="L116" s="262">
        <f t="shared" si="47"/>
        <v>0</v>
      </c>
      <c r="M116" s="262">
        <f t="shared" si="47"/>
        <v>0</v>
      </c>
      <c r="N116" s="262">
        <f t="shared" si="47"/>
        <v>0</v>
      </c>
      <c r="O116" s="75"/>
      <c r="P116" s="234" t="s">
        <v>281</v>
      </c>
      <c r="R116" s="17"/>
      <c r="S116" s="17"/>
      <c r="V116" s="14"/>
      <c r="W116" s="14"/>
      <c r="X116" s="14"/>
      <c r="Y116" s="14"/>
      <c r="Z116" s="14"/>
      <c r="AA116" s="14"/>
      <c r="AB116" s="14"/>
    </row>
    <row r="117" spans="1:34" s="6" customFormat="1" ht="20.45" customHeight="1">
      <c r="A117" s="165" t="s">
        <v>117</v>
      </c>
      <c r="B117" s="188" t="s">
        <v>151</v>
      </c>
      <c r="C117" s="181"/>
      <c r="D117" s="173"/>
      <c r="E117" s="173"/>
      <c r="F117" s="173"/>
      <c r="G117" s="173"/>
      <c r="H117" s="173"/>
      <c r="I117" s="173"/>
      <c r="J117" s="150"/>
      <c r="K117" s="173"/>
      <c r="L117" s="173"/>
      <c r="M117" s="173"/>
      <c r="N117" s="173"/>
      <c r="O117" s="173" t="s">
        <v>173</v>
      </c>
      <c r="P117" s="189" t="s">
        <v>98</v>
      </c>
      <c r="AB117" s="56"/>
      <c r="AC117" s="56"/>
      <c r="AD117" s="56"/>
      <c r="AE117" s="56"/>
      <c r="AF117" s="66"/>
    </row>
    <row r="118" spans="1:34" s="6" customFormat="1" ht="12.2" customHeight="1">
      <c r="A118" s="260" t="s">
        <v>24</v>
      </c>
      <c r="B118" s="245"/>
      <c r="C118" s="195">
        <v>85.300000000000125</v>
      </c>
      <c r="D118" s="75">
        <f>V118</f>
        <v>0</v>
      </c>
      <c r="E118" s="75">
        <f>W118</f>
        <v>0</v>
      </c>
      <c r="F118" s="75">
        <f t="shared" ref="F118:L118" si="48">SUM(F119:F121)</f>
        <v>337464</v>
      </c>
      <c r="G118" s="75">
        <f t="shared" si="48"/>
        <v>371002.7</v>
      </c>
      <c r="H118" s="75">
        <f t="shared" si="48"/>
        <v>349985.39999999997</v>
      </c>
      <c r="I118" s="75">
        <f t="shared" si="48"/>
        <v>496208.30000000005</v>
      </c>
      <c r="J118" s="75">
        <f>SUM(J119:J121)</f>
        <v>78578.8</v>
      </c>
      <c r="K118" s="75">
        <f t="shared" si="48"/>
        <v>250316.40000000002</v>
      </c>
      <c r="L118" s="75">
        <f t="shared" si="48"/>
        <v>594544.14249999996</v>
      </c>
      <c r="M118" s="75">
        <v>617864</v>
      </c>
      <c r="N118" s="75">
        <v>497400</v>
      </c>
      <c r="O118" s="150"/>
      <c r="P118" s="234" t="s">
        <v>25</v>
      </c>
      <c r="T118" s="19"/>
      <c r="U118" s="16"/>
      <c r="V118" s="14"/>
      <c r="W118" s="21"/>
      <c r="X118" s="21"/>
      <c r="Y118" s="21"/>
      <c r="Z118" s="21"/>
      <c r="AA118" s="21"/>
      <c r="AB118" s="130"/>
      <c r="AC118" s="56"/>
      <c r="AD118" s="56"/>
      <c r="AE118" s="56"/>
      <c r="AF118" s="131"/>
      <c r="AH118" s="15"/>
    </row>
    <row r="119" spans="1:34" s="6" customFormat="1" ht="12.2" customHeight="1">
      <c r="A119" s="260" t="s">
        <v>189</v>
      </c>
      <c r="B119" s="245"/>
      <c r="C119" s="195">
        <v>1267.5999999999999</v>
      </c>
      <c r="D119" s="75">
        <f t="shared" ref="D119:D126" si="49">V119</f>
        <v>0</v>
      </c>
      <c r="E119" s="75">
        <f t="shared" ref="E119:E126" si="50">W119</f>
        <v>0</v>
      </c>
      <c r="F119" s="75">
        <v>391220</v>
      </c>
      <c r="G119" s="75">
        <v>419484.4</v>
      </c>
      <c r="H119" s="75">
        <v>389884.8</v>
      </c>
      <c r="I119" s="75">
        <v>548134.1</v>
      </c>
      <c r="J119" s="75">
        <v>149953</v>
      </c>
      <c r="K119" s="75">
        <v>328605</v>
      </c>
      <c r="L119" s="75">
        <v>668426</v>
      </c>
      <c r="M119" s="75">
        <v>690800</v>
      </c>
      <c r="N119" s="75">
        <v>591536</v>
      </c>
      <c r="O119" s="150"/>
      <c r="P119" s="261" t="s">
        <v>58</v>
      </c>
      <c r="R119" s="17"/>
      <c r="S119" s="17"/>
      <c r="T119" s="19"/>
      <c r="U119" s="16"/>
      <c r="V119" s="21"/>
      <c r="W119" s="21"/>
      <c r="X119" s="21"/>
      <c r="Y119" s="21"/>
      <c r="Z119" s="21"/>
      <c r="AA119" s="21"/>
      <c r="AB119" s="130"/>
      <c r="AC119" s="56"/>
      <c r="AD119" s="56"/>
      <c r="AE119" s="56"/>
      <c r="AF119" s="131"/>
      <c r="AH119" s="18"/>
    </row>
    <row r="120" spans="1:34" s="6" customFormat="1" ht="12.2" customHeight="1">
      <c r="A120" s="260" t="s">
        <v>56</v>
      </c>
      <c r="B120" s="245"/>
      <c r="C120" s="195">
        <v>-361.7</v>
      </c>
      <c r="D120" s="75">
        <f t="shared" si="49"/>
        <v>0</v>
      </c>
      <c r="E120" s="75">
        <f t="shared" si="50"/>
        <v>0</v>
      </c>
      <c r="F120" s="75">
        <v>1618</v>
      </c>
      <c r="G120" s="75">
        <v>14361.8</v>
      </c>
      <c r="H120" s="75">
        <v>23970.1</v>
      </c>
      <c r="I120" s="75">
        <v>34368.300000000003</v>
      </c>
      <c r="J120" s="75">
        <v>32398</v>
      </c>
      <c r="K120" s="75">
        <v>26414.7</v>
      </c>
      <c r="L120" s="75">
        <v>36315</v>
      </c>
      <c r="M120" s="75">
        <v>41207</v>
      </c>
      <c r="N120" s="75">
        <v>40374</v>
      </c>
      <c r="O120" s="150"/>
      <c r="P120" s="176" t="s">
        <v>59</v>
      </c>
      <c r="R120" s="17"/>
      <c r="S120" s="17"/>
      <c r="T120" s="19"/>
      <c r="U120" s="16"/>
      <c r="V120" s="21"/>
      <c r="W120" s="21"/>
      <c r="X120" s="21"/>
      <c r="Y120" s="21"/>
      <c r="Z120" s="21"/>
      <c r="AA120" s="21"/>
      <c r="AB120" s="130"/>
      <c r="AC120" s="56"/>
      <c r="AD120" s="56"/>
      <c r="AE120" s="56"/>
      <c r="AF120" s="131"/>
      <c r="AH120" s="7"/>
    </row>
    <row r="121" spans="1:34" s="6" customFormat="1" ht="12.2" customHeight="1">
      <c r="A121" s="260" t="s">
        <v>57</v>
      </c>
      <c r="B121" s="245"/>
      <c r="C121" s="195">
        <v>989</v>
      </c>
      <c r="D121" s="75">
        <f t="shared" si="49"/>
        <v>0</v>
      </c>
      <c r="E121" s="75">
        <f t="shared" si="50"/>
        <v>0</v>
      </c>
      <c r="F121" s="75">
        <v>-55374</v>
      </c>
      <c r="G121" s="75">
        <v>-62843.5</v>
      </c>
      <c r="H121" s="75">
        <v>-63869.5</v>
      </c>
      <c r="I121" s="75">
        <v>-86294.1</v>
      </c>
      <c r="J121" s="75">
        <v>-103772.2</v>
      </c>
      <c r="K121" s="75">
        <v>-104703.3</v>
      </c>
      <c r="L121" s="75">
        <v>-110196.8575</v>
      </c>
      <c r="M121" s="75">
        <v>-114144</v>
      </c>
      <c r="N121" s="75">
        <v>-134510</v>
      </c>
      <c r="O121" s="150"/>
      <c r="P121" s="176" t="s">
        <v>60</v>
      </c>
      <c r="R121" s="17"/>
      <c r="S121" s="17"/>
      <c r="T121" s="19"/>
      <c r="U121" s="16"/>
      <c r="V121" s="21"/>
      <c r="W121" s="21"/>
      <c r="X121" s="21"/>
      <c r="Y121" s="21"/>
      <c r="Z121" s="21"/>
      <c r="AA121" s="21"/>
      <c r="AB121" s="130"/>
      <c r="AC121" s="56"/>
      <c r="AD121" s="56"/>
      <c r="AE121" s="56"/>
      <c r="AF121" s="131"/>
      <c r="AH121" s="7"/>
    </row>
    <row r="122" spans="1:34" s="6" customFormat="1" ht="12.2" customHeight="1">
      <c r="A122" s="260" t="s">
        <v>26</v>
      </c>
      <c r="B122" s="245"/>
      <c r="C122" s="195"/>
      <c r="D122" s="75"/>
      <c r="E122" s="75"/>
      <c r="F122" s="75"/>
      <c r="G122" s="75"/>
      <c r="H122" s="75" t="s">
        <v>61</v>
      </c>
      <c r="I122" s="75" t="s">
        <v>61</v>
      </c>
      <c r="J122" s="75" t="s">
        <v>61</v>
      </c>
      <c r="K122" s="75" t="s">
        <v>61</v>
      </c>
      <c r="L122" s="75" t="s">
        <v>61</v>
      </c>
      <c r="M122" s="75">
        <v>-1017</v>
      </c>
      <c r="N122" s="75">
        <v>-1257</v>
      </c>
      <c r="O122" s="150"/>
      <c r="P122" s="234" t="s">
        <v>27</v>
      </c>
      <c r="Q122" s="88"/>
      <c r="R122" s="17"/>
      <c r="S122" s="17"/>
      <c r="T122" s="19"/>
      <c r="U122" s="16"/>
      <c r="V122" s="21"/>
      <c r="W122" s="21"/>
      <c r="X122" s="21"/>
      <c r="Y122" s="21"/>
      <c r="Z122" s="21"/>
      <c r="AA122" s="21"/>
      <c r="AB122" s="130"/>
      <c r="AC122" s="56"/>
      <c r="AD122" s="56"/>
      <c r="AE122" s="56"/>
      <c r="AF122" s="131"/>
      <c r="AH122" s="15"/>
    </row>
    <row r="123" spans="1:34" s="6" customFormat="1" ht="12.2" customHeight="1">
      <c r="A123" s="260" t="s">
        <v>28</v>
      </c>
      <c r="B123" s="245"/>
      <c r="C123" s="195">
        <v>-204</v>
      </c>
      <c r="D123" s="75">
        <f t="shared" si="49"/>
        <v>0</v>
      </c>
      <c r="E123" s="75">
        <f t="shared" si="50"/>
        <v>0</v>
      </c>
      <c r="F123" s="75">
        <v>-207250</v>
      </c>
      <c r="G123" s="75">
        <v>-294003.09999999998</v>
      </c>
      <c r="H123" s="75">
        <v>-291446</v>
      </c>
      <c r="I123" s="75">
        <v>-383610.9</v>
      </c>
      <c r="J123" s="75">
        <v>149248.5</v>
      </c>
      <c r="K123" s="75">
        <v>-121392</v>
      </c>
      <c r="L123" s="75">
        <v>-413878.48</v>
      </c>
      <c r="M123" s="75">
        <v>-458090</v>
      </c>
      <c r="N123" s="75">
        <v>-477630</v>
      </c>
      <c r="O123" s="150"/>
      <c r="P123" s="234" t="s">
        <v>29</v>
      </c>
      <c r="R123" s="17"/>
      <c r="S123" s="17"/>
      <c r="T123" s="19"/>
      <c r="U123" s="16"/>
      <c r="V123" s="21"/>
      <c r="W123" s="21"/>
      <c r="X123" s="21"/>
      <c r="Y123" s="21"/>
      <c r="Z123" s="21"/>
      <c r="AA123" s="21"/>
      <c r="AB123" s="130"/>
      <c r="AC123" s="56"/>
      <c r="AD123" s="56"/>
      <c r="AE123" s="56"/>
      <c r="AF123" s="131"/>
      <c r="AH123" s="15"/>
    </row>
    <row r="124" spans="1:34" s="6" customFormat="1" ht="12.2" customHeight="1">
      <c r="A124" s="260" t="s">
        <v>30</v>
      </c>
      <c r="B124" s="245"/>
      <c r="C124" s="195">
        <v>80.3</v>
      </c>
      <c r="D124" s="75"/>
      <c r="E124" s="75"/>
      <c r="F124" s="75">
        <v>-130214</v>
      </c>
      <c r="G124" s="75">
        <v>-76999.600000000006</v>
      </c>
      <c r="H124" s="75">
        <v>-58539.4</v>
      </c>
      <c r="I124" s="75">
        <v>-112597.4</v>
      </c>
      <c r="J124" s="75">
        <v>-227828.2</v>
      </c>
      <c r="K124" s="75">
        <v>-128924</v>
      </c>
      <c r="L124" s="75">
        <v>-180343.46800000011</v>
      </c>
      <c r="M124" s="75">
        <v>-159774</v>
      </c>
      <c r="N124" s="75">
        <v>-18514</v>
      </c>
      <c r="O124" s="150"/>
      <c r="P124" s="234" t="s">
        <v>31</v>
      </c>
      <c r="R124" s="17"/>
      <c r="S124" s="17"/>
      <c r="T124" s="19"/>
      <c r="U124" s="16"/>
      <c r="V124" s="21"/>
      <c r="W124" s="21"/>
      <c r="X124" s="21"/>
      <c r="Y124" s="21"/>
      <c r="Z124" s="21"/>
      <c r="AA124" s="21"/>
      <c r="AB124" s="130"/>
      <c r="AC124" s="56"/>
      <c r="AD124" s="56"/>
      <c r="AE124" s="56"/>
      <c r="AF124" s="131"/>
      <c r="AH124" s="15"/>
    </row>
    <row r="125" spans="1:34" s="6" customFormat="1" ht="12.2" customHeight="1">
      <c r="A125" s="260" t="s">
        <v>279</v>
      </c>
      <c r="B125" s="245"/>
      <c r="C125" s="195"/>
      <c r="D125" s="75"/>
      <c r="E125" s="75"/>
      <c r="F125" s="75"/>
      <c r="G125" s="75"/>
      <c r="H125" s="75"/>
      <c r="I125" s="159">
        <f>-(I124+I123+I118)</f>
        <v>0</v>
      </c>
      <c r="J125" s="159">
        <f t="shared" ref="J125:L125" si="51">-(J124+J123+J118)</f>
        <v>0.90000000000873115</v>
      </c>
      <c r="K125" s="159">
        <f t="shared" si="51"/>
        <v>-0.40000000002328306</v>
      </c>
      <c r="L125" s="258">
        <f t="shared" si="51"/>
        <v>-322.19449999986682</v>
      </c>
      <c r="M125" s="258">
        <f>-(M124+M123+M122+M118)</f>
        <v>1017</v>
      </c>
      <c r="N125" s="159">
        <f>-(N124+N123+N122+N118)</f>
        <v>1</v>
      </c>
      <c r="O125" s="150"/>
      <c r="P125" s="234" t="s">
        <v>282</v>
      </c>
      <c r="R125" s="17"/>
      <c r="S125" s="17"/>
      <c r="T125" s="19"/>
      <c r="U125" s="16"/>
      <c r="V125" s="21"/>
      <c r="W125" s="21"/>
      <c r="X125" s="21"/>
      <c r="Y125" s="21"/>
      <c r="Z125" s="21"/>
      <c r="AA125" s="21"/>
      <c r="AB125" s="130"/>
      <c r="AC125" s="56"/>
      <c r="AD125" s="56"/>
      <c r="AE125" s="56"/>
      <c r="AF125" s="131"/>
      <c r="AH125" s="15"/>
    </row>
    <row r="126" spans="1:34" s="6" customFormat="1" ht="12.2" customHeight="1">
      <c r="A126" s="150" t="s">
        <v>280</v>
      </c>
      <c r="B126" s="150"/>
      <c r="C126" s="195">
        <v>45.200000000000117</v>
      </c>
      <c r="D126" s="75">
        <f t="shared" si="49"/>
        <v>0</v>
      </c>
      <c r="E126" s="75">
        <f t="shared" si="50"/>
        <v>0</v>
      </c>
      <c r="F126" s="75">
        <f>F118+F123+F124</f>
        <v>0</v>
      </c>
      <c r="G126" s="75">
        <f>G118+G123+G124</f>
        <v>0</v>
      </c>
      <c r="H126" s="75">
        <f>H118+H123+H124</f>
        <v>0</v>
      </c>
      <c r="I126" s="159">
        <f>SUM(I118,I122,I124,I123,I125)</f>
        <v>0</v>
      </c>
      <c r="J126" s="159">
        <f t="shared" ref="J126:N126" si="52">SUM(J118,J122,J124,J123,J125)</f>
        <v>-1.4551915228366852E-11</v>
      </c>
      <c r="K126" s="159">
        <f t="shared" si="52"/>
        <v>0</v>
      </c>
      <c r="L126" s="159">
        <f t="shared" si="52"/>
        <v>0</v>
      </c>
      <c r="M126" s="159">
        <f t="shared" si="52"/>
        <v>0</v>
      </c>
      <c r="N126" s="159">
        <f t="shared" si="52"/>
        <v>0</v>
      </c>
      <c r="O126" s="150"/>
      <c r="P126" s="234" t="s">
        <v>281</v>
      </c>
      <c r="V126" s="21"/>
      <c r="W126" s="21"/>
      <c r="X126" s="21"/>
      <c r="Y126" s="21"/>
      <c r="Z126" s="21"/>
      <c r="AA126" s="21"/>
      <c r="AB126" s="21"/>
      <c r="AH126" s="15"/>
    </row>
    <row r="127" spans="1:34" s="6" customFormat="1" ht="21" customHeight="1">
      <c r="A127" s="188" t="s">
        <v>140</v>
      </c>
      <c r="B127" s="188" t="s">
        <v>174</v>
      </c>
      <c r="C127" s="181"/>
      <c r="D127" s="173"/>
      <c r="E127" s="173"/>
      <c r="F127" s="173"/>
      <c r="G127" s="173"/>
      <c r="H127" s="173"/>
      <c r="I127" s="173"/>
      <c r="J127" s="150"/>
      <c r="K127" s="173"/>
      <c r="L127" s="173"/>
      <c r="M127" s="173"/>
      <c r="N127" s="173"/>
      <c r="O127" s="173" t="s">
        <v>175</v>
      </c>
      <c r="P127" s="189" t="s">
        <v>14</v>
      </c>
    </row>
    <row r="128" spans="1:34" s="6" customFormat="1" ht="12.2" customHeight="1">
      <c r="A128" s="260" t="s">
        <v>24</v>
      </c>
      <c r="B128" s="245"/>
      <c r="C128" s="195">
        <v>85.300000000000125</v>
      </c>
      <c r="D128" s="183"/>
      <c r="E128" s="183"/>
      <c r="F128" s="183"/>
      <c r="G128" s="183">
        <v>-10684.936799999999</v>
      </c>
      <c r="H128" s="75">
        <v>-3268.1</v>
      </c>
      <c r="I128" s="75">
        <v>-1313.6</v>
      </c>
      <c r="J128" s="75">
        <v>-2117</v>
      </c>
      <c r="K128" s="75">
        <v>254.8</v>
      </c>
      <c r="L128" s="183">
        <v>-284.57</v>
      </c>
      <c r="M128" s="75">
        <v>-6590</v>
      </c>
      <c r="N128" s="75" t="s">
        <v>61</v>
      </c>
      <c r="O128" s="150"/>
      <c r="P128" s="234" t="s">
        <v>25</v>
      </c>
      <c r="T128" s="19"/>
    </row>
    <row r="129" spans="1:40" s="6" customFormat="1" ht="12.2" customHeight="1">
      <c r="A129" s="260" t="s">
        <v>189</v>
      </c>
      <c r="B129" s="245"/>
      <c r="C129" s="195">
        <v>1267.5999999999999</v>
      </c>
      <c r="D129" s="183"/>
      <c r="E129" s="183"/>
      <c r="F129" s="183"/>
      <c r="G129" s="183"/>
      <c r="H129" s="75">
        <v>1156.8</v>
      </c>
      <c r="I129" s="75">
        <v>3441.1</v>
      </c>
      <c r="J129" s="75">
        <v>-270.89999999999998</v>
      </c>
      <c r="K129" s="75">
        <v>2564.9</v>
      </c>
      <c r="L129" s="75">
        <v>1471</v>
      </c>
      <c r="M129" s="75">
        <v>-5020</v>
      </c>
      <c r="N129" s="75" t="s">
        <v>61</v>
      </c>
      <c r="O129" s="150"/>
      <c r="P129" s="261" t="s">
        <v>58</v>
      </c>
      <c r="Q129" s="82"/>
      <c r="R129" s="44"/>
      <c r="T129" s="19"/>
    </row>
    <row r="130" spans="1:40" s="6" customFormat="1" ht="12.2" customHeight="1">
      <c r="A130" s="260" t="s">
        <v>56</v>
      </c>
      <c r="B130" s="245"/>
      <c r="C130" s="195">
        <v>-361.7</v>
      </c>
      <c r="D130" s="183"/>
      <c r="E130" s="183"/>
      <c r="F130" s="183"/>
      <c r="G130" s="183"/>
      <c r="H130" s="75">
        <v>3068.4</v>
      </c>
      <c r="I130" s="75">
        <v>4559.8999999999996</v>
      </c>
      <c r="J130" s="75">
        <v>3402.6</v>
      </c>
      <c r="K130" s="75">
        <v>3751.5</v>
      </c>
      <c r="L130" s="75" t="s">
        <v>61</v>
      </c>
      <c r="M130" s="75" t="s">
        <v>61</v>
      </c>
      <c r="N130" s="75" t="s">
        <v>61</v>
      </c>
      <c r="O130" s="150"/>
      <c r="P130" s="176" t="s">
        <v>59</v>
      </c>
      <c r="T130" s="19"/>
      <c r="AB130" s="81"/>
    </row>
    <row r="131" spans="1:40" s="6" customFormat="1" ht="12.2" customHeight="1">
      <c r="A131" s="260" t="s">
        <v>57</v>
      </c>
      <c r="B131" s="245"/>
      <c r="C131" s="195">
        <v>989</v>
      </c>
      <c r="D131" s="183"/>
      <c r="E131" s="183"/>
      <c r="F131" s="183"/>
      <c r="G131" s="183"/>
      <c r="H131" s="75">
        <v>-7493.4</v>
      </c>
      <c r="I131" s="75">
        <v>-9314.6</v>
      </c>
      <c r="J131" s="75">
        <v>-5309.1</v>
      </c>
      <c r="K131" s="75">
        <v>-6061.6</v>
      </c>
      <c r="L131" s="119">
        <v>-1756</v>
      </c>
      <c r="M131" s="119">
        <v>-1570</v>
      </c>
      <c r="N131" s="75" t="s">
        <v>61</v>
      </c>
      <c r="O131" s="150"/>
      <c r="P131" s="176" t="s">
        <v>60</v>
      </c>
      <c r="T131" s="19"/>
    </row>
    <row r="132" spans="1:40" s="6" customFormat="1" ht="12.2" customHeight="1">
      <c r="A132" s="260" t="s">
        <v>316</v>
      </c>
      <c r="B132" s="245"/>
      <c r="C132" s="195"/>
      <c r="D132" s="183"/>
      <c r="E132" s="183"/>
      <c r="F132" s="183"/>
      <c r="G132" s="183"/>
      <c r="H132" s="75">
        <v>2925</v>
      </c>
      <c r="I132" s="75">
        <v>1465.9</v>
      </c>
      <c r="J132" s="75">
        <v>3116.9</v>
      </c>
      <c r="K132" s="75">
        <v>610.20000000000005</v>
      </c>
      <c r="L132" s="75">
        <v>4057</v>
      </c>
      <c r="M132" s="75">
        <v>5002</v>
      </c>
      <c r="N132" s="75" t="s">
        <v>61</v>
      </c>
      <c r="O132" s="150"/>
      <c r="P132" s="234" t="s">
        <v>315</v>
      </c>
      <c r="T132" s="19"/>
    </row>
    <row r="133" spans="1:40" s="6" customFormat="1" ht="12.2" customHeight="1">
      <c r="A133" s="260" t="s">
        <v>28</v>
      </c>
      <c r="B133" s="245"/>
      <c r="C133" s="195">
        <v>-204</v>
      </c>
      <c r="D133" s="183"/>
      <c r="E133" s="183"/>
      <c r="F133" s="183"/>
      <c r="G133" s="183">
        <v>10015.092000000001</v>
      </c>
      <c r="H133" s="183" t="s">
        <v>61</v>
      </c>
      <c r="I133" s="183" t="s">
        <v>61</v>
      </c>
      <c r="J133" s="183" t="s">
        <v>61</v>
      </c>
      <c r="K133" s="183" t="s">
        <v>61</v>
      </c>
      <c r="L133" s="75" t="s">
        <v>61</v>
      </c>
      <c r="M133" s="75" t="s">
        <v>61</v>
      </c>
      <c r="N133" s="75" t="s">
        <v>61</v>
      </c>
      <c r="O133" s="150"/>
      <c r="P133" s="234" t="s">
        <v>123</v>
      </c>
      <c r="T133" s="19"/>
    </row>
    <row r="134" spans="1:40" s="6" customFormat="1" ht="12.2" customHeight="1">
      <c r="A134" s="260" t="s">
        <v>30</v>
      </c>
      <c r="B134" s="245"/>
      <c r="C134" s="195">
        <v>80.3</v>
      </c>
      <c r="D134" s="183"/>
      <c r="E134" s="183"/>
      <c r="F134" s="183"/>
      <c r="G134" s="183">
        <v>216.76560000000001</v>
      </c>
      <c r="H134" s="75">
        <f>-343.1+404</f>
        <v>60.899999999999977</v>
      </c>
      <c r="I134" s="75">
        <f>152.3+284</f>
        <v>436.3</v>
      </c>
      <c r="J134" s="75">
        <v>-1501.5</v>
      </c>
      <c r="K134" s="75">
        <v>-919.2</v>
      </c>
      <c r="L134" s="75">
        <v>-4415</v>
      </c>
      <c r="M134" s="75">
        <v>1587</v>
      </c>
      <c r="N134" s="75" t="s">
        <v>61</v>
      </c>
      <c r="O134" s="150"/>
      <c r="P134" s="234" t="s">
        <v>31</v>
      </c>
      <c r="T134" s="19"/>
    </row>
    <row r="135" spans="1:40" s="6" customFormat="1" ht="12.2" customHeight="1">
      <c r="A135" s="260" t="s">
        <v>279</v>
      </c>
      <c r="B135" s="245"/>
      <c r="C135" s="195"/>
      <c r="D135" s="183"/>
      <c r="E135" s="183"/>
      <c r="F135" s="183"/>
      <c r="G135" s="183"/>
      <c r="H135" s="75"/>
      <c r="I135" s="75">
        <f>-(I134+I132+I128)</f>
        <v>-588.60000000000014</v>
      </c>
      <c r="J135" s="75">
        <f t="shared" ref="J135:M135" si="53">-(J134+J132+J128)</f>
        <v>501.59999999999991</v>
      </c>
      <c r="K135" s="75">
        <f t="shared" si="53"/>
        <v>54.199999999999989</v>
      </c>
      <c r="L135" s="75">
        <f t="shared" si="53"/>
        <v>642.56999999999994</v>
      </c>
      <c r="M135" s="75">
        <f t="shared" si="53"/>
        <v>1</v>
      </c>
      <c r="N135" s="75" t="s">
        <v>61</v>
      </c>
      <c r="O135" s="150"/>
      <c r="P135" s="234" t="s">
        <v>282</v>
      </c>
      <c r="T135" s="19"/>
    </row>
    <row r="136" spans="1:40" s="6" customFormat="1" ht="12.2" customHeight="1">
      <c r="A136" s="150" t="s">
        <v>280</v>
      </c>
      <c r="B136" s="150"/>
      <c r="C136" s="195">
        <v>45.200000000000117</v>
      </c>
      <c r="D136" s="183"/>
      <c r="E136" s="183"/>
      <c r="F136" s="183"/>
      <c r="G136" s="183">
        <v>-453.07919999999922</v>
      </c>
      <c r="H136" s="183">
        <v>-282.2</v>
      </c>
      <c r="I136" s="159">
        <f>SUM(I128,I132,I134,I135)</f>
        <v>0</v>
      </c>
      <c r="J136" s="159">
        <f t="shared" ref="J136:M136" si="54">SUM(J128,J132,J134,J135)</f>
        <v>0</v>
      </c>
      <c r="K136" s="159">
        <f t="shared" si="54"/>
        <v>-5.6843418860808015E-14</v>
      </c>
      <c r="L136" s="159">
        <f t="shared" si="54"/>
        <v>0</v>
      </c>
      <c r="M136" s="159">
        <f t="shared" si="54"/>
        <v>0</v>
      </c>
      <c r="N136" s="75" t="s">
        <v>61</v>
      </c>
      <c r="O136" s="150"/>
      <c r="P136" s="234" t="s">
        <v>281</v>
      </c>
    </row>
    <row r="137" spans="1:40" s="6" customFormat="1" ht="20.45" customHeight="1">
      <c r="A137" s="165" t="s">
        <v>13</v>
      </c>
      <c r="B137" s="188" t="s">
        <v>174</v>
      </c>
      <c r="C137" s="181"/>
      <c r="D137" s="173"/>
      <c r="E137" s="173"/>
      <c r="F137" s="173"/>
      <c r="G137" s="173"/>
      <c r="H137" s="173"/>
      <c r="I137" s="173"/>
      <c r="J137" s="150"/>
      <c r="K137" s="173"/>
      <c r="L137" s="173"/>
      <c r="M137" s="173"/>
      <c r="N137" s="173"/>
      <c r="O137" s="173" t="s">
        <v>155</v>
      </c>
      <c r="P137" s="189" t="s">
        <v>311</v>
      </c>
    </row>
    <row r="138" spans="1:40" s="6" customFormat="1" ht="12.2" customHeight="1">
      <c r="A138" s="260" t="s">
        <v>24</v>
      </c>
      <c r="B138" s="245"/>
      <c r="C138" s="195">
        <v>85.300000000000125</v>
      </c>
      <c r="D138" s="75">
        <f>D139+D140+D141</f>
        <v>37006</v>
      </c>
      <c r="E138" s="75">
        <f>E139+E140+E141</f>
        <v>30527</v>
      </c>
      <c r="F138" s="75">
        <f>AI138</f>
        <v>0</v>
      </c>
      <c r="G138" s="75">
        <f>AJ138</f>
        <v>0</v>
      </c>
      <c r="H138" s="75">
        <f>AK138</f>
        <v>0</v>
      </c>
      <c r="I138" s="183" t="s">
        <v>61</v>
      </c>
      <c r="J138" s="75">
        <v>-97696</v>
      </c>
      <c r="K138" s="75">
        <v>-17080</v>
      </c>
      <c r="L138" s="75">
        <v>-8653</v>
      </c>
      <c r="M138" s="183" t="s">
        <v>61</v>
      </c>
      <c r="N138" s="183" t="s">
        <v>61</v>
      </c>
      <c r="O138" s="150"/>
      <c r="P138" s="234" t="s">
        <v>25</v>
      </c>
      <c r="R138" s="17"/>
      <c r="S138" s="17"/>
      <c r="T138" s="19"/>
      <c r="AI138" s="45"/>
      <c r="AJ138" s="45"/>
      <c r="AK138" s="45"/>
      <c r="AL138" s="45"/>
      <c r="AM138" s="45"/>
      <c r="AN138" s="45"/>
    </row>
    <row r="139" spans="1:40" s="6" customFormat="1" ht="12.2" customHeight="1">
      <c r="A139" s="260" t="s">
        <v>189</v>
      </c>
      <c r="B139" s="245"/>
      <c r="C139" s="195">
        <v>1267.5999999999999</v>
      </c>
      <c r="D139" s="75">
        <v>52655</v>
      </c>
      <c r="E139" s="75">
        <v>33104</v>
      </c>
      <c r="F139" s="75">
        <f t="shared" ref="F139:F146" si="55">AI139</f>
        <v>0</v>
      </c>
      <c r="G139" s="75">
        <f t="shared" ref="G139:G146" si="56">AJ139</f>
        <v>0</v>
      </c>
      <c r="H139" s="75">
        <f t="shared" ref="H139:H146" si="57">AK139</f>
        <v>0</v>
      </c>
      <c r="I139" s="183" t="s">
        <v>61</v>
      </c>
      <c r="J139" s="75" t="s">
        <v>61</v>
      </c>
      <c r="K139" s="75" t="s">
        <v>61</v>
      </c>
      <c r="L139" s="75" t="s">
        <v>61</v>
      </c>
      <c r="M139" s="183" t="s">
        <v>61</v>
      </c>
      <c r="N139" s="183" t="s">
        <v>61</v>
      </c>
      <c r="O139" s="150"/>
      <c r="P139" s="261" t="s">
        <v>58</v>
      </c>
      <c r="R139" s="323"/>
      <c r="S139" s="132"/>
      <c r="T139" s="132"/>
      <c r="U139" s="132"/>
      <c r="V139" s="132"/>
      <c r="AI139" s="45"/>
      <c r="AJ139" s="45"/>
      <c r="AK139" s="45"/>
      <c r="AL139" s="45"/>
      <c r="AM139" s="45"/>
      <c r="AN139" s="45"/>
    </row>
    <row r="140" spans="1:40" s="6" customFormat="1" ht="12.2" customHeight="1">
      <c r="A140" s="260" t="s">
        <v>56</v>
      </c>
      <c r="B140" s="245"/>
      <c r="C140" s="195">
        <v>-361.7</v>
      </c>
      <c r="D140" s="75">
        <v>-42173</v>
      </c>
      <c r="E140" s="75">
        <v>-37639</v>
      </c>
      <c r="F140" s="75">
        <f t="shared" si="55"/>
        <v>0</v>
      </c>
      <c r="G140" s="75">
        <f t="shared" si="56"/>
        <v>0</v>
      </c>
      <c r="H140" s="75">
        <f t="shared" si="57"/>
        <v>0</v>
      </c>
      <c r="I140" s="183" t="s">
        <v>61</v>
      </c>
      <c r="J140" s="75" t="s">
        <v>61</v>
      </c>
      <c r="K140" s="75" t="s">
        <v>61</v>
      </c>
      <c r="L140" s="183" t="s">
        <v>61</v>
      </c>
      <c r="M140" s="183" t="s">
        <v>61</v>
      </c>
      <c r="N140" s="183" t="s">
        <v>61</v>
      </c>
      <c r="O140" s="150"/>
      <c r="P140" s="176" t="s">
        <v>59</v>
      </c>
      <c r="R140" s="323"/>
      <c r="S140" s="133"/>
      <c r="T140" s="133"/>
      <c r="U140" s="133"/>
      <c r="V140" s="133"/>
      <c r="AI140" s="45"/>
      <c r="AJ140" s="45"/>
      <c r="AK140" s="45"/>
      <c r="AL140" s="45"/>
      <c r="AM140" s="45"/>
      <c r="AN140" s="45"/>
    </row>
    <row r="141" spans="1:40" s="6" customFormat="1" ht="12.2" customHeight="1">
      <c r="A141" s="260" t="s">
        <v>57</v>
      </c>
      <c r="B141" s="245"/>
      <c r="C141" s="195">
        <v>989</v>
      </c>
      <c r="D141" s="75">
        <v>26524</v>
      </c>
      <c r="E141" s="75">
        <v>35062</v>
      </c>
      <c r="F141" s="75">
        <f t="shared" si="55"/>
        <v>0</v>
      </c>
      <c r="G141" s="75">
        <f t="shared" si="56"/>
        <v>0</v>
      </c>
      <c r="H141" s="75">
        <f t="shared" si="57"/>
        <v>0</v>
      </c>
      <c r="I141" s="183" t="s">
        <v>61</v>
      </c>
      <c r="J141" s="75" t="s">
        <v>61</v>
      </c>
      <c r="K141" s="75" t="s">
        <v>61</v>
      </c>
      <c r="L141" s="183" t="s">
        <v>61</v>
      </c>
      <c r="M141" s="183" t="s">
        <v>61</v>
      </c>
      <c r="N141" s="183" t="s">
        <v>61</v>
      </c>
      <c r="O141" s="150"/>
      <c r="P141" s="176" t="s">
        <v>60</v>
      </c>
      <c r="R141" s="17"/>
      <c r="S141" s="17"/>
      <c r="T141" s="19"/>
      <c r="AI141" s="45"/>
      <c r="AJ141" s="45"/>
      <c r="AK141" s="45"/>
      <c r="AL141" s="45"/>
      <c r="AM141" s="45"/>
      <c r="AN141" s="45"/>
    </row>
    <row r="142" spans="1:40" s="6" customFormat="1" ht="12.2" customHeight="1">
      <c r="A142" s="260" t="s">
        <v>26</v>
      </c>
      <c r="B142" s="245"/>
      <c r="C142" s="195"/>
      <c r="D142" s="75">
        <v>984</v>
      </c>
      <c r="E142" s="75">
        <v>913</v>
      </c>
      <c r="F142" s="75">
        <f t="shared" si="55"/>
        <v>0</v>
      </c>
      <c r="G142" s="75">
        <f t="shared" si="56"/>
        <v>0</v>
      </c>
      <c r="H142" s="75">
        <f t="shared" si="57"/>
        <v>0</v>
      </c>
      <c r="I142" s="183" t="s">
        <v>61</v>
      </c>
      <c r="J142" s="75">
        <v>49607</v>
      </c>
      <c r="K142" s="75">
        <v>13349</v>
      </c>
      <c r="L142" s="75">
        <v>-164</v>
      </c>
      <c r="M142" s="183" t="s">
        <v>61</v>
      </c>
      <c r="N142" s="183" t="s">
        <v>61</v>
      </c>
      <c r="O142" s="150"/>
      <c r="P142" s="234" t="s">
        <v>27</v>
      </c>
      <c r="R142" s="51"/>
      <c r="S142" s="51"/>
      <c r="T142" s="19"/>
      <c r="AI142" s="45"/>
      <c r="AJ142" s="45"/>
      <c r="AK142" s="45"/>
      <c r="AL142" s="45"/>
      <c r="AM142" s="45"/>
      <c r="AN142" s="45"/>
    </row>
    <row r="143" spans="1:40" s="6" customFormat="1" ht="12.2" customHeight="1">
      <c r="A143" s="260" t="s">
        <v>28</v>
      </c>
      <c r="B143" s="245"/>
      <c r="C143" s="195">
        <v>-204</v>
      </c>
      <c r="D143" s="75">
        <v>-6791</v>
      </c>
      <c r="E143" s="75">
        <v>-4977</v>
      </c>
      <c r="F143" s="75">
        <f t="shared" si="55"/>
        <v>0</v>
      </c>
      <c r="G143" s="75">
        <f t="shared" si="56"/>
        <v>0</v>
      </c>
      <c r="H143" s="75">
        <f t="shared" si="57"/>
        <v>0</v>
      </c>
      <c r="I143" s="183" t="s">
        <v>61</v>
      </c>
      <c r="J143" s="75">
        <v>100422</v>
      </c>
      <c r="K143" s="75">
        <v>58224</v>
      </c>
      <c r="L143" s="75">
        <v>2078</v>
      </c>
      <c r="M143" s="183" t="s">
        <v>61</v>
      </c>
      <c r="N143" s="183" t="s">
        <v>61</v>
      </c>
      <c r="O143" s="150"/>
      <c r="P143" s="234" t="s">
        <v>29</v>
      </c>
      <c r="R143" s="17"/>
      <c r="S143" s="17"/>
      <c r="T143" s="19"/>
      <c r="AI143" s="45"/>
      <c r="AJ143" s="45"/>
      <c r="AK143" s="45"/>
      <c r="AL143" s="45"/>
      <c r="AM143" s="45"/>
      <c r="AN143" s="45"/>
    </row>
    <row r="144" spans="1:40" s="6" customFormat="1" ht="12.2" customHeight="1">
      <c r="A144" s="260" t="s">
        <v>30</v>
      </c>
      <c r="B144" s="245"/>
      <c r="C144" s="195">
        <v>80.3</v>
      </c>
      <c r="D144" s="75">
        <v>4183</v>
      </c>
      <c r="E144" s="75">
        <v>-16038</v>
      </c>
      <c r="F144" s="75">
        <f t="shared" si="55"/>
        <v>0</v>
      </c>
      <c r="G144" s="75">
        <f t="shared" si="56"/>
        <v>0</v>
      </c>
      <c r="H144" s="75">
        <f t="shared" si="57"/>
        <v>0</v>
      </c>
      <c r="I144" s="183" t="s">
        <v>61</v>
      </c>
      <c r="J144" s="75">
        <v>-34889</v>
      </c>
      <c r="K144" s="75">
        <v>41708</v>
      </c>
      <c r="L144" s="183" t="s">
        <v>61</v>
      </c>
      <c r="M144" s="183" t="s">
        <v>61</v>
      </c>
      <c r="N144" s="183" t="s">
        <v>61</v>
      </c>
      <c r="O144" s="150"/>
      <c r="P144" s="234" t="s">
        <v>31</v>
      </c>
      <c r="Q144" s="41"/>
      <c r="T144" s="19"/>
      <c r="AI144" s="45"/>
      <c r="AJ144" s="45"/>
      <c r="AK144" s="45"/>
      <c r="AL144" s="45"/>
      <c r="AM144" s="45"/>
      <c r="AN144" s="45"/>
    </row>
    <row r="145" spans="1:40" s="6" customFormat="1" ht="12.2" customHeight="1">
      <c r="A145" s="260" t="s">
        <v>279</v>
      </c>
      <c r="B145" s="245"/>
      <c r="C145" s="195"/>
      <c r="D145" s="75"/>
      <c r="E145" s="75"/>
      <c r="F145" s="75"/>
      <c r="G145" s="75"/>
      <c r="H145" s="75"/>
      <c r="I145" s="183" t="s">
        <v>61</v>
      </c>
      <c r="J145" s="75">
        <f>-(J138+J142+J143+J144)</f>
        <v>-17444</v>
      </c>
      <c r="K145" s="75">
        <f t="shared" ref="K145" si="58">-(K138+K142+K143+K144)</f>
        <v>-96201</v>
      </c>
      <c r="L145" s="75">
        <f>-(L138+L142+L143)</f>
        <v>6739</v>
      </c>
      <c r="M145" s="183" t="s">
        <v>61</v>
      </c>
      <c r="N145" s="183" t="s">
        <v>61</v>
      </c>
      <c r="O145" s="150"/>
      <c r="P145" s="234" t="s">
        <v>282</v>
      </c>
      <c r="T145" s="19"/>
      <c r="AI145" s="45"/>
      <c r="AJ145" s="45"/>
      <c r="AK145" s="45"/>
      <c r="AL145" s="45"/>
      <c r="AM145" s="45"/>
      <c r="AN145" s="45"/>
    </row>
    <row r="146" spans="1:40" s="6" customFormat="1" ht="12.2" customHeight="1">
      <c r="A146" s="150" t="s">
        <v>280</v>
      </c>
      <c r="B146" s="150"/>
      <c r="C146" s="195">
        <v>45.200000000000117</v>
      </c>
      <c r="D146" s="75">
        <f>D138+D142+D143+D144</f>
        <v>35382</v>
      </c>
      <c r="E146" s="75">
        <f>E138+E142+E143+E144</f>
        <v>10425</v>
      </c>
      <c r="F146" s="75">
        <f t="shared" si="55"/>
        <v>0</v>
      </c>
      <c r="G146" s="75">
        <f t="shared" si="56"/>
        <v>0</v>
      </c>
      <c r="H146" s="75">
        <f t="shared" si="57"/>
        <v>0</v>
      </c>
      <c r="I146" s="183" t="s">
        <v>61</v>
      </c>
      <c r="J146" s="159">
        <f>J138+J142+J143+J144+J145</f>
        <v>0</v>
      </c>
      <c r="K146" s="159">
        <f t="shared" ref="K146" si="59">K138+K142+K143+K144+K145</f>
        <v>0</v>
      </c>
      <c r="L146" s="159">
        <f>L138+L142+L143+L145</f>
        <v>0</v>
      </c>
      <c r="M146" s="183" t="s">
        <v>61</v>
      </c>
      <c r="N146" s="183" t="s">
        <v>61</v>
      </c>
      <c r="O146" s="150"/>
      <c r="P146" s="234" t="s">
        <v>281</v>
      </c>
      <c r="AI146" s="45"/>
      <c r="AJ146" s="45"/>
      <c r="AK146" s="45"/>
      <c r="AL146" s="45"/>
      <c r="AM146" s="45"/>
      <c r="AN146" s="45"/>
    </row>
    <row r="147" spans="1:40" s="6" customFormat="1" ht="20.45" customHeight="1">
      <c r="A147" s="165" t="s">
        <v>220</v>
      </c>
      <c r="B147" s="188" t="s">
        <v>144</v>
      </c>
      <c r="C147" s="181"/>
      <c r="D147" s="173"/>
      <c r="E147" s="173"/>
      <c r="F147" s="173"/>
      <c r="G147" s="173"/>
      <c r="H147" s="173"/>
      <c r="I147" s="173"/>
      <c r="J147" s="150"/>
      <c r="K147" s="173"/>
      <c r="L147" s="173"/>
      <c r="M147" s="173"/>
      <c r="N147" s="173"/>
      <c r="O147" s="181" t="s">
        <v>145</v>
      </c>
      <c r="P147" s="189" t="s">
        <v>213</v>
      </c>
    </row>
    <row r="148" spans="1:40" s="6" customFormat="1" ht="12.2" customHeight="1">
      <c r="A148" s="260" t="s">
        <v>24</v>
      </c>
      <c r="B148" s="245"/>
      <c r="C148" s="195">
        <v>85.300000000000125</v>
      </c>
      <c r="D148" s="75">
        <f t="shared" ref="D148:H148" si="60">SUM(D149:D151)</f>
        <v>0</v>
      </c>
      <c r="E148" s="75">
        <f t="shared" si="60"/>
        <v>103975</v>
      </c>
      <c r="F148" s="75">
        <f t="shared" si="60"/>
        <v>157154</v>
      </c>
      <c r="G148" s="75">
        <f t="shared" si="60"/>
        <v>211302</v>
      </c>
      <c r="H148" s="75">
        <f t="shared" si="60"/>
        <v>201601</v>
      </c>
      <c r="I148" s="183" t="s">
        <v>61</v>
      </c>
      <c r="J148" s="75">
        <v>-1666</v>
      </c>
      <c r="K148" s="75">
        <v>-3012</v>
      </c>
      <c r="L148" s="75">
        <v>-4766</v>
      </c>
      <c r="M148" s="75">
        <v>-5812</v>
      </c>
      <c r="N148" s="75">
        <v>-6302</v>
      </c>
      <c r="O148" s="150"/>
      <c r="P148" s="234" t="s">
        <v>25</v>
      </c>
    </row>
    <row r="149" spans="1:40" s="6" customFormat="1" ht="12.2" customHeight="1">
      <c r="A149" s="260" t="s">
        <v>189</v>
      </c>
      <c r="B149" s="245"/>
      <c r="C149" s="195">
        <v>1267.5999999999999</v>
      </c>
      <c r="D149" s="75">
        <f>1000*U149</f>
        <v>0</v>
      </c>
      <c r="E149" s="75">
        <v>101375</v>
      </c>
      <c r="F149" s="75">
        <v>157154</v>
      </c>
      <c r="G149" s="75">
        <v>211302</v>
      </c>
      <c r="H149" s="75">
        <v>170851</v>
      </c>
      <c r="I149" s="183" t="s">
        <v>61</v>
      </c>
      <c r="J149" s="75">
        <f>-4994+3408.9</f>
        <v>-1585.1</v>
      </c>
      <c r="K149" s="75">
        <f>-6548+3521</f>
        <v>-3027</v>
      </c>
      <c r="L149" s="75">
        <f>-6756+2102</f>
        <v>-4654</v>
      </c>
      <c r="M149" s="75">
        <f>-9535+3053.4</f>
        <v>-6481.6</v>
      </c>
      <c r="N149" s="75">
        <v>-7001</v>
      </c>
      <c r="O149" s="150"/>
      <c r="P149" s="261" t="s">
        <v>58</v>
      </c>
      <c r="R149" s="17"/>
      <c r="S149" s="17"/>
      <c r="U149" s="71"/>
      <c r="V149" s="71"/>
      <c r="W149" s="71"/>
      <c r="X149" s="71"/>
      <c r="Y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</row>
    <row r="150" spans="1:40" s="6" customFormat="1" ht="12.2" customHeight="1">
      <c r="A150" s="260" t="s">
        <v>56</v>
      </c>
      <c r="B150" s="245"/>
      <c r="C150" s="195">
        <v>-361.7</v>
      </c>
      <c r="D150" s="75">
        <f>1000*U150</f>
        <v>0</v>
      </c>
      <c r="E150" s="75">
        <v>2600</v>
      </c>
      <c r="F150" s="75">
        <f t="shared" ref="F150:F152" si="61">1000*W150</f>
        <v>0</v>
      </c>
      <c r="G150" s="75">
        <f t="shared" ref="G150:G152" si="62">1000*X150</f>
        <v>0</v>
      </c>
      <c r="H150" s="75">
        <v>30750</v>
      </c>
      <c r="I150" s="183" t="s">
        <v>61</v>
      </c>
      <c r="J150" s="75">
        <v>-393</v>
      </c>
      <c r="K150" s="75">
        <v>-296</v>
      </c>
      <c r="L150" s="75">
        <v>-468</v>
      </c>
      <c r="M150" s="75">
        <v>282.3</v>
      </c>
      <c r="N150" s="75">
        <v>212</v>
      </c>
      <c r="O150" s="150"/>
      <c r="P150" s="176" t="s">
        <v>59</v>
      </c>
      <c r="R150" s="17"/>
      <c r="S150" s="17"/>
      <c r="U150" s="71"/>
      <c r="V150" s="71"/>
      <c r="W150" s="71"/>
      <c r="X150" s="71"/>
      <c r="Y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</row>
    <row r="151" spans="1:40" s="6" customFormat="1" ht="12.2" customHeight="1">
      <c r="A151" s="260" t="s">
        <v>57</v>
      </c>
      <c r="B151" s="245"/>
      <c r="C151" s="195">
        <v>989</v>
      </c>
      <c r="D151" s="75">
        <f>1000*U151</f>
        <v>0</v>
      </c>
      <c r="E151" s="75">
        <f>1000*V151</f>
        <v>0</v>
      </c>
      <c r="F151" s="75">
        <f t="shared" si="61"/>
        <v>0</v>
      </c>
      <c r="G151" s="75">
        <f t="shared" si="62"/>
        <v>0</v>
      </c>
      <c r="H151" s="75">
        <f>1000*Y151</f>
        <v>0</v>
      </c>
      <c r="I151" s="183" t="s">
        <v>61</v>
      </c>
      <c r="J151" s="75">
        <v>312.39999999999998</v>
      </c>
      <c r="K151" s="75">
        <v>310.2</v>
      </c>
      <c r="L151" s="75">
        <v>356</v>
      </c>
      <c r="M151" s="75">
        <v>387</v>
      </c>
      <c r="N151" s="75">
        <f>116.7+70+64.6+235.5</f>
        <v>486.79999999999995</v>
      </c>
      <c r="O151" s="150"/>
      <c r="P151" s="176" t="s">
        <v>60</v>
      </c>
      <c r="R151" s="17"/>
      <c r="S151" s="17"/>
      <c r="U151" s="71"/>
      <c r="V151" s="71"/>
      <c r="W151" s="71"/>
      <c r="X151" s="71"/>
      <c r="Y151" s="71"/>
    </row>
    <row r="152" spans="1:40" s="6" customFormat="1" ht="12.2" customHeight="1">
      <c r="A152" s="260" t="s">
        <v>26</v>
      </c>
      <c r="B152" s="245"/>
      <c r="C152" s="195"/>
      <c r="D152" s="75">
        <f>1000*U152</f>
        <v>0</v>
      </c>
      <c r="E152" s="75">
        <f>1000*V152</f>
        <v>0</v>
      </c>
      <c r="F152" s="75">
        <f t="shared" si="61"/>
        <v>0</v>
      </c>
      <c r="G152" s="75">
        <f t="shared" si="62"/>
        <v>0</v>
      </c>
      <c r="H152" s="75">
        <f>1000*Y152</f>
        <v>0</v>
      </c>
      <c r="I152" s="183" t="s">
        <v>61</v>
      </c>
      <c r="J152" s="75">
        <v>222</v>
      </c>
      <c r="K152" s="75">
        <v>118</v>
      </c>
      <c r="L152" s="75">
        <v>258.7</v>
      </c>
      <c r="M152" s="75">
        <v>701.2</v>
      </c>
      <c r="N152" s="75">
        <v>187</v>
      </c>
      <c r="O152" s="150"/>
      <c r="P152" s="234" t="s">
        <v>27</v>
      </c>
      <c r="R152" s="51"/>
      <c r="S152" s="51"/>
      <c r="U152" s="71"/>
      <c r="V152" s="71"/>
      <c r="W152" s="71"/>
      <c r="X152" s="71"/>
      <c r="Y152" s="71"/>
    </row>
    <row r="153" spans="1:40" s="6" customFormat="1" ht="12.2" customHeight="1">
      <c r="A153" s="260" t="s">
        <v>28</v>
      </c>
      <c r="B153" s="245"/>
      <c r="C153" s="195">
        <v>-204</v>
      </c>
      <c r="D153" s="75"/>
      <c r="E153" s="75"/>
      <c r="F153" s="75"/>
      <c r="G153" s="75"/>
      <c r="H153" s="259">
        <v>0</v>
      </c>
      <c r="I153" s="183" t="s">
        <v>61</v>
      </c>
      <c r="J153" s="75">
        <v>3559</v>
      </c>
      <c r="K153" s="75">
        <v>2515</v>
      </c>
      <c r="L153" s="75">
        <v>2021</v>
      </c>
      <c r="M153" s="75">
        <v>7128</v>
      </c>
      <c r="N153" s="75">
        <v>4815</v>
      </c>
      <c r="O153" s="150"/>
      <c r="P153" s="234" t="s">
        <v>29</v>
      </c>
      <c r="R153" s="17"/>
      <c r="S153" s="17"/>
    </row>
    <row r="154" spans="1:40" s="6" customFormat="1" ht="12.2" customHeight="1">
      <c r="A154" s="260" t="s">
        <v>30</v>
      </c>
      <c r="B154" s="245"/>
      <c r="C154" s="195">
        <v>80.3</v>
      </c>
      <c r="D154" s="75">
        <f>1000*U154</f>
        <v>0</v>
      </c>
      <c r="E154" s="75">
        <f>1000*V154</f>
        <v>0</v>
      </c>
      <c r="F154" s="75">
        <f>1000*W154</f>
        <v>0</v>
      </c>
      <c r="G154" s="75">
        <f>1000*X154</f>
        <v>0</v>
      </c>
      <c r="H154" s="75">
        <v>5683</v>
      </c>
      <c r="I154" s="183" t="s">
        <v>61</v>
      </c>
      <c r="J154" s="75">
        <v>127</v>
      </c>
      <c r="K154" s="75">
        <v>180</v>
      </c>
      <c r="L154" s="75">
        <v>139</v>
      </c>
      <c r="M154" s="75">
        <v>151</v>
      </c>
      <c r="N154" s="75">
        <v>205</v>
      </c>
      <c r="O154" s="150"/>
      <c r="P154" s="234" t="s">
        <v>31</v>
      </c>
      <c r="R154" s="17"/>
      <c r="S154" s="17"/>
      <c r="U154" s="134"/>
      <c r="V154" s="134"/>
      <c r="W154" s="134"/>
      <c r="X154" s="134"/>
      <c r="Y154" s="134"/>
    </row>
    <row r="155" spans="1:40" s="6" customFormat="1" ht="12.2" customHeight="1">
      <c r="A155" s="260" t="s">
        <v>279</v>
      </c>
      <c r="B155" s="245"/>
      <c r="C155" s="195"/>
      <c r="D155" s="75"/>
      <c r="E155" s="75"/>
      <c r="F155" s="75"/>
      <c r="G155" s="75"/>
      <c r="H155" s="75"/>
      <c r="I155" s="183" t="s">
        <v>61</v>
      </c>
      <c r="J155" s="75">
        <f>-(J148+J152+J153+J154)</f>
        <v>-2242</v>
      </c>
      <c r="K155" s="75">
        <f t="shared" ref="K155:L155" si="63">-(K148+K152+K153+K154)</f>
        <v>199</v>
      </c>
      <c r="L155" s="75">
        <f t="shared" si="63"/>
        <v>2347.3000000000002</v>
      </c>
      <c r="M155" s="75">
        <f>-(M148+M152+M153+M154)</f>
        <v>-2168.1999999999998</v>
      </c>
      <c r="N155" s="75">
        <f>-(N148+N152+N153+N154)</f>
        <v>1095</v>
      </c>
      <c r="O155" s="150"/>
      <c r="P155" s="234" t="s">
        <v>282</v>
      </c>
      <c r="R155" s="17"/>
      <c r="S155" s="17"/>
      <c r="U155" s="134"/>
      <c r="V155" s="134"/>
      <c r="W155" s="134"/>
      <c r="X155" s="134"/>
      <c r="Y155" s="134"/>
    </row>
    <row r="156" spans="1:40" s="6" customFormat="1" ht="12.2" customHeight="1">
      <c r="A156" s="150" t="s">
        <v>280</v>
      </c>
      <c r="B156" s="150"/>
      <c r="C156" s="195">
        <v>45.200000000000117</v>
      </c>
      <c r="D156" s="75">
        <f t="shared" ref="D156:H156" si="64">D148+D152+D153+D154</f>
        <v>0</v>
      </c>
      <c r="E156" s="75">
        <f t="shared" si="64"/>
        <v>103975</v>
      </c>
      <c r="F156" s="75">
        <f t="shared" si="64"/>
        <v>157154</v>
      </c>
      <c r="G156" s="75">
        <f t="shared" si="64"/>
        <v>211302</v>
      </c>
      <c r="H156" s="75">
        <f t="shared" si="64"/>
        <v>207284</v>
      </c>
      <c r="I156" s="183" t="s">
        <v>61</v>
      </c>
      <c r="J156" s="159">
        <f>SUM(J148,J152,J153,J154,J155)</f>
        <v>0</v>
      </c>
      <c r="K156" s="159">
        <f t="shared" ref="K156:M156" si="65">SUM(K148,K152,K153,K154,K155)</f>
        <v>0</v>
      </c>
      <c r="L156" s="159">
        <f t="shared" si="65"/>
        <v>0</v>
      </c>
      <c r="M156" s="159">
        <f t="shared" si="65"/>
        <v>0</v>
      </c>
      <c r="N156" s="159">
        <f>SUM(N148,N152,N153,N154,N155)</f>
        <v>0</v>
      </c>
      <c r="O156" s="150"/>
      <c r="P156" s="234" t="s">
        <v>281</v>
      </c>
    </row>
    <row r="157" spans="1:40" s="6" customFormat="1" ht="20.45" customHeight="1">
      <c r="A157" s="165" t="s">
        <v>119</v>
      </c>
      <c r="B157" s="188" t="s">
        <v>156</v>
      </c>
      <c r="C157" s="181"/>
      <c r="D157" s="173"/>
      <c r="E157" s="173"/>
      <c r="F157" s="173"/>
      <c r="G157" s="173"/>
      <c r="H157" s="173"/>
      <c r="I157" s="173"/>
      <c r="J157" s="150"/>
      <c r="K157" s="173"/>
      <c r="L157" s="173"/>
      <c r="M157" s="173"/>
      <c r="N157" s="173"/>
      <c r="O157" s="173" t="s">
        <v>176</v>
      </c>
      <c r="P157" s="189" t="s">
        <v>129</v>
      </c>
    </row>
    <row r="158" spans="1:40" s="6" customFormat="1" ht="12.2" customHeight="1">
      <c r="A158" s="260" t="s">
        <v>24</v>
      </c>
      <c r="B158" s="245"/>
      <c r="C158" s="195">
        <v>85.300000000000125</v>
      </c>
      <c r="D158" s="75">
        <f t="shared" ref="D158:I158" si="66">SUM(D159:D161)</f>
        <v>0</v>
      </c>
      <c r="E158" s="75">
        <f t="shared" si="66"/>
        <v>103975</v>
      </c>
      <c r="F158" s="75">
        <f t="shared" si="66"/>
        <v>157154</v>
      </c>
      <c r="G158" s="75">
        <f t="shared" si="66"/>
        <v>211302</v>
      </c>
      <c r="H158" s="75">
        <f t="shared" si="66"/>
        <v>201601</v>
      </c>
      <c r="I158" s="75">
        <f t="shared" si="66"/>
        <v>206062</v>
      </c>
      <c r="J158" s="75">
        <f>SUM(J159:J161)</f>
        <v>128996</v>
      </c>
      <c r="K158" s="75">
        <f>SUM(K159:K161)</f>
        <v>138106</v>
      </c>
      <c r="L158" s="75">
        <v>187110</v>
      </c>
      <c r="M158" s="75">
        <v>253260</v>
      </c>
      <c r="N158" s="75">
        <v>237546</v>
      </c>
      <c r="O158" s="150"/>
      <c r="P158" s="234" t="s">
        <v>25</v>
      </c>
    </row>
    <row r="159" spans="1:40" s="6" customFormat="1" ht="12.2" customHeight="1">
      <c r="A159" s="260" t="s">
        <v>189</v>
      </c>
      <c r="B159" s="245"/>
      <c r="C159" s="195">
        <v>1267.5999999999999</v>
      </c>
      <c r="D159" s="75">
        <f>1000*U159</f>
        <v>0</v>
      </c>
      <c r="E159" s="75">
        <v>101375</v>
      </c>
      <c r="F159" s="75">
        <v>157154</v>
      </c>
      <c r="G159" s="75">
        <v>211302</v>
      </c>
      <c r="H159" s="75">
        <v>170851</v>
      </c>
      <c r="I159" s="75">
        <v>231092</v>
      </c>
      <c r="J159" s="75">
        <v>154596</v>
      </c>
      <c r="K159" s="75">
        <v>179872</v>
      </c>
      <c r="L159" s="75">
        <f>391470-160564</f>
        <v>230906</v>
      </c>
      <c r="M159" s="75">
        <f xml:space="preserve"> 484708-176570</f>
        <v>308138</v>
      </c>
      <c r="N159" s="75">
        <f>503694-197448</f>
        <v>306246</v>
      </c>
      <c r="O159" s="150"/>
      <c r="P159" s="261" t="s">
        <v>58</v>
      </c>
      <c r="R159" s="17"/>
      <c r="S159" s="17"/>
      <c r="U159" s="71"/>
      <c r="V159" s="71"/>
      <c r="W159" s="71"/>
      <c r="X159" s="71"/>
      <c r="Y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</row>
    <row r="160" spans="1:40" s="6" customFormat="1" ht="12.2" customHeight="1">
      <c r="A160" s="260" t="s">
        <v>56</v>
      </c>
      <c r="B160" s="245"/>
      <c r="C160" s="195">
        <v>-361.7</v>
      </c>
      <c r="D160" s="75">
        <f>1000*U160</f>
        <v>0</v>
      </c>
      <c r="E160" s="75">
        <v>2600</v>
      </c>
      <c r="F160" s="75">
        <f t="shared" ref="F160:G162" si="67">1000*W160</f>
        <v>0</v>
      </c>
      <c r="G160" s="75">
        <f t="shared" si="67"/>
        <v>0</v>
      </c>
      <c r="H160" s="75">
        <v>30750</v>
      </c>
      <c r="I160" s="75">
        <v>13970</v>
      </c>
      <c r="J160" s="75">
        <v>11800</v>
      </c>
      <c r="K160" s="75">
        <v>-366</v>
      </c>
      <c r="L160" s="75">
        <v>404</v>
      </c>
      <c r="M160" s="75">
        <v>1092</v>
      </c>
      <c r="N160" s="75">
        <v>650</v>
      </c>
      <c r="O160" s="150"/>
      <c r="P160" s="176" t="s">
        <v>59</v>
      </c>
      <c r="R160" s="17"/>
      <c r="S160" s="17"/>
      <c r="U160" s="71"/>
      <c r="V160" s="71"/>
      <c r="W160" s="71"/>
      <c r="X160" s="71"/>
      <c r="Y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</row>
    <row r="161" spans="1:25" s="6" customFormat="1" ht="12.2" customHeight="1">
      <c r="A161" s="260" t="s">
        <v>57</v>
      </c>
      <c r="B161" s="245"/>
      <c r="C161" s="195">
        <v>989</v>
      </c>
      <c r="D161" s="75">
        <f>1000*U161</f>
        <v>0</v>
      </c>
      <c r="E161" s="75">
        <f>1000*V161</f>
        <v>0</v>
      </c>
      <c r="F161" s="75">
        <f t="shared" si="67"/>
        <v>0</v>
      </c>
      <c r="G161" s="75">
        <f t="shared" si="67"/>
        <v>0</v>
      </c>
      <c r="H161" s="75">
        <f>1000*Y161</f>
        <v>0</v>
      </c>
      <c r="I161" s="75">
        <v>-39000</v>
      </c>
      <c r="J161" s="75">
        <v>-37400</v>
      </c>
      <c r="K161" s="75">
        <v>-41400</v>
      </c>
      <c r="L161" s="75">
        <v>-44200</v>
      </c>
      <c r="M161" s="75">
        <v>-55970</v>
      </c>
      <c r="N161" s="75">
        <v>-69350</v>
      </c>
      <c r="O161" s="150"/>
      <c r="P161" s="176" t="s">
        <v>60</v>
      </c>
      <c r="R161" s="17"/>
      <c r="S161" s="17"/>
      <c r="U161" s="71"/>
      <c r="V161" s="71"/>
      <c r="W161" s="71"/>
      <c r="X161" s="71"/>
      <c r="Y161" s="71"/>
    </row>
    <row r="162" spans="1:25" s="6" customFormat="1" ht="12.2" customHeight="1">
      <c r="A162" s="260" t="s">
        <v>314</v>
      </c>
      <c r="B162" s="245"/>
      <c r="C162" s="195"/>
      <c r="D162" s="75">
        <f>1000*U162</f>
        <v>0</v>
      </c>
      <c r="E162" s="75">
        <f>1000*V162</f>
        <v>0</v>
      </c>
      <c r="F162" s="75">
        <f t="shared" si="67"/>
        <v>0</v>
      </c>
      <c r="G162" s="75">
        <f t="shared" si="67"/>
        <v>0</v>
      </c>
      <c r="H162" s="75">
        <f>1000*Y162</f>
        <v>0</v>
      </c>
      <c r="I162" s="259">
        <v>0</v>
      </c>
      <c r="J162" s="75">
        <v>-35584</v>
      </c>
      <c r="K162" s="75">
        <v>18457</v>
      </c>
      <c r="L162" s="75">
        <v>-109147</v>
      </c>
      <c r="M162" s="75">
        <v>-145752</v>
      </c>
      <c r="N162" s="75">
        <v>-163670</v>
      </c>
      <c r="O162" s="150"/>
      <c r="P162" s="234" t="s">
        <v>315</v>
      </c>
      <c r="R162" s="51"/>
      <c r="S162" s="51"/>
      <c r="U162" s="71"/>
      <c r="V162" s="71"/>
      <c r="W162" s="71"/>
      <c r="X162" s="71"/>
      <c r="Y162" s="71"/>
    </row>
    <row r="163" spans="1:25" s="6" customFormat="1" ht="12.2" customHeight="1">
      <c r="A163" s="260" t="s">
        <v>28</v>
      </c>
      <c r="B163" s="245"/>
      <c r="C163" s="195">
        <v>-204</v>
      </c>
      <c r="D163" s="75"/>
      <c r="E163" s="75"/>
      <c r="F163" s="75"/>
      <c r="G163" s="75"/>
      <c r="H163" s="259">
        <v>0</v>
      </c>
      <c r="I163" s="259">
        <v>0</v>
      </c>
      <c r="J163" s="264">
        <v>0</v>
      </c>
      <c r="K163" s="264">
        <v>0</v>
      </c>
      <c r="L163" s="264">
        <v>0</v>
      </c>
      <c r="M163" s="264">
        <v>0</v>
      </c>
      <c r="N163" s="264">
        <v>0</v>
      </c>
      <c r="O163" s="150"/>
      <c r="P163" s="234" t="s">
        <v>29</v>
      </c>
      <c r="R163" s="17"/>
      <c r="S163" s="17"/>
    </row>
    <row r="164" spans="1:25" s="6" customFormat="1" ht="12.2" customHeight="1">
      <c r="A164" s="260" t="s">
        <v>30</v>
      </c>
      <c r="B164" s="245"/>
      <c r="C164" s="195">
        <v>80.3</v>
      </c>
      <c r="D164" s="75">
        <f>1000*U164</f>
        <v>0</v>
      </c>
      <c r="E164" s="75">
        <f>1000*V164</f>
        <v>0</v>
      </c>
      <c r="F164" s="75">
        <f>1000*W164</f>
        <v>0</v>
      </c>
      <c r="G164" s="75">
        <f>1000*X164</f>
        <v>0</v>
      </c>
      <c r="H164" s="75">
        <v>5683</v>
      </c>
      <c r="I164" s="75">
        <v>-50759</v>
      </c>
      <c r="J164" s="75">
        <v>-15760</v>
      </c>
      <c r="K164" s="75">
        <v>-18120</v>
      </c>
      <c r="L164" s="75">
        <v>-61342</v>
      </c>
      <c r="M164" s="75">
        <v>-71203</v>
      </c>
      <c r="N164" s="75">
        <v>3414</v>
      </c>
      <c r="O164" s="150"/>
      <c r="P164" s="234" t="s">
        <v>31</v>
      </c>
      <c r="R164" s="17"/>
      <c r="S164" s="17"/>
      <c r="U164" s="134"/>
      <c r="V164" s="134"/>
      <c r="W164" s="134"/>
      <c r="X164" s="134"/>
      <c r="Y164" s="134"/>
    </row>
    <row r="165" spans="1:25" s="6" customFormat="1" ht="12.2" customHeight="1">
      <c r="A165" s="260" t="s">
        <v>279</v>
      </c>
      <c r="B165" s="245"/>
      <c r="C165" s="195"/>
      <c r="D165" s="75"/>
      <c r="E165" s="75"/>
      <c r="F165" s="75"/>
      <c r="G165" s="75"/>
      <c r="H165" s="75"/>
      <c r="I165" s="75">
        <f>-(I158+I162+I163+I164)</f>
        <v>-155303</v>
      </c>
      <c r="J165" s="75">
        <f t="shared" ref="J165:N165" si="68">-(J158+J162+J163+J164)</f>
        <v>-77652</v>
      </c>
      <c r="K165" s="75">
        <f t="shared" si="68"/>
        <v>-138443</v>
      </c>
      <c r="L165" s="75">
        <f t="shared" si="68"/>
        <v>-16621</v>
      </c>
      <c r="M165" s="75">
        <f t="shared" si="68"/>
        <v>-36305</v>
      </c>
      <c r="N165" s="75">
        <f t="shared" si="68"/>
        <v>-77290</v>
      </c>
      <c r="O165" s="150"/>
      <c r="P165" s="234" t="s">
        <v>282</v>
      </c>
      <c r="R165" s="17"/>
      <c r="S165" s="17"/>
      <c r="U165" s="134"/>
      <c r="V165" s="134"/>
      <c r="W165" s="134"/>
      <c r="X165" s="134"/>
      <c r="Y165" s="134"/>
    </row>
    <row r="166" spans="1:25" s="6" customFormat="1" ht="12.2" customHeight="1">
      <c r="A166" s="150" t="s">
        <v>280</v>
      </c>
      <c r="B166" s="150"/>
      <c r="C166" s="195">
        <v>45.200000000000117</v>
      </c>
      <c r="D166" s="75">
        <f t="shared" ref="D166:H166" si="69">D158+D162+D163+D164</f>
        <v>0</v>
      </c>
      <c r="E166" s="75">
        <f t="shared" si="69"/>
        <v>103975</v>
      </c>
      <c r="F166" s="75">
        <f t="shared" si="69"/>
        <v>157154</v>
      </c>
      <c r="G166" s="75">
        <f t="shared" si="69"/>
        <v>211302</v>
      </c>
      <c r="H166" s="75">
        <f t="shared" si="69"/>
        <v>207284</v>
      </c>
      <c r="I166" s="262">
        <f>SUM(I158,I162,I163,I164,I165)</f>
        <v>0</v>
      </c>
      <c r="J166" s="262">
        <f t="shared" ref="J166:N166" si="70">SUM(J158,J162,J163,J164,J165)</f>
        <v>0</v>
      </c>
      <c r="K166" s="262">
        <f t="shared" si="70"/>
        <v>0</v>
      </c>
      <c r="L166" s="262">
        <f t="shared" si="70"/>
        <v>0</v>
      </c>
      <c r="M166" s="262">
        <f t="shared" si="70"/>
        <v>0</v>
      </c>
      <c r="N166" s="262">
        <f t="shared" si="70"/>
        <v>0</v>
      </c>
      <c r="O166" s="150"/>
      <c r="P166" s="234" t="s">
        <v>281</v>
      </c>
    </row>
    <row r="167" spans="1:25" s="6" customFormat="1" ht="20.45" customHeight="1">
      <c r="A167" s="165" t="s">
        <v>103</v>
      </c>
      <c r="B167" s="188" t="s">
        <v>151</v>
      </c>
      <c r="C167" s="181"/>
      <c r="D167" s="173"/>
      <c r="E167" s="173"/>
      <c r="F167" s="173"/>
      <c r="G167" s="173"/>
      <c r="H167" s="173"/>
      <c r="I167" s="173"/>
      <c r="J167" s="150"/>
      <c r="K167" s="173"/>
      <c r="L167" s="173"/>
      <c r="M167" s="173"/>
      <c r="N167" s="173"/>
      <c r="O167" s="173" t="s">
        <v>173</v>
      </c>
      <c r="P167" s="189" t="s">
        <v>115</v>
      </c>
    </row>
    <row r="168" spans="1:25" ht="13.5">
      <c r="A168" s="260" t="s">
        <v>24</v>
      </c>
      <c r="B168" s="245"/>
      <c r="C168" s="195">
        <v>85.300000000000125</v>
      </c>
      <c r="D168" s="75">
        <f t="shared" ref="D168:H168" si="71">SUM(D169:D171)</f>
        <v>508695.10000000009</v>
      </c>
      <c r="E168" s="75">
        <f t="shared" si="71"/>
        <v>666718.9</v>
      </c>
      <c r="F168" s="75">
        <f t="shared" si="71"/>
        <v>907719.5</v>
      </c>
      <c r="G168" s="75">
        <f t="shared" si="71"/>
        <v>788046.6</v>
      </c>
      <c r="H168" s="75">
        <f t="shared" si="71"/>
        <v>-299689.8</v>
      </c>
      <c r="I168" s="75">
        <v>-250247.8</v>
      </c>
      <c r="J168" s="75">
        <v>-505990.06868131325</v>
      </c>
      <c r="K168" s="75">
        <v>-233224.94733422721</v>
      </c>
      <c r="L168" s="75">
        <v>-112750.97350415064</v>
      </c>
      <c r="M168" s="75">
        <v>-72008.800000000003</v>
      </c>
      <c r="N168" s="75">
        <v>-328887</v>
      </c>
      <c r="O168" s="150"/>
      <c r="P168" s="234" t="s">
        <v>25</v>
      </c>
      <c r="R168" s="135"/>
      <c r="S168" s="135"/>
    </row>
    <row r="169" spans="1:25" ht="13.5">
      <c r="A169" s="260" t="s">
        <v>189</v>
      </c>
      <c r="B169" s="245"/>
      <c r="C169" s="195">
        <v>1267.5999999999999</v>
      </c>
      <c r="D169" s="75">
        <v>67254.100000000093</v>
      </c>
      <c r="E169" s="75">
        <v>151115.1</v>
      </c>
      <c r="F169" s="75">
        <v>326987.59999999998</v>
      </c>
      <c r="G169" s="75">
        <v>272531.5</v>
      </c>
      <c r="H169" s="75">
        <v>-314801.39999999997</v>
      </c>
      <c r="I169" s="75">
        <f>-71617.6000000001-228187</f>
        <v>-299804.60000000009</v>
      </c>
      <c r="J169" s="75">
        <f>-397773.94622674-176752</f>
        <v>-574525.94622674002</v>
      </c>
      <c r="K169" s="75">
        <f>-182406.295024565-117039</f>
        <v>-299445.29502456501</v>
      </c>
      <c r="L169" s="75">
        <f>122757.74024695-191978</f>
        <v>-69220.259753050006</v>
      </c>
      <c r="M169" s="75">
        <f>-760259.8-163858.6</f>
        <v>-924118.4</v>
      </c>
      <c r="N169" s="75">
        <f>-626252.9-117461.2</f>
        <v>-743714.1</v>
      </c>
      <c r="O169" s="150"/>
      <c r="P169" s="261" t="s">
        <v>58</v>
      </c>
      <c r="R169" s="135"/>
      <c r="S169" s="135"/>
    </row>
    <row r="170" spans="1:25" ht="13.5">
      <c r="A170" s="260" t="s">
        <v>56</v>
      </c>
      <c r="B170" s="245"/>
      <c r="C170" s="195">
        <v>-361.7</v>
      </c>
      <c r="D170" s="75">
        <v>188362.2</v>
      </c>
      <c r="E170" s="75">
        <v>248867.20000000001</v>
      </c>
      <c r="F170" s="75">
        <v>309135.40000000002</v>
      </c>
      <c r="G170" s="75">
        <v>243208.1</v>
      </c>
      <c r="H170" s="75">
        <v>-268235.7</v>
      </c>
      <c r="I170" s="75">
        <v>-382591</v>
      </c>
      <c r="J170" s="75">
        <v>-234545.47198207112</v>
      </c>
      <c r="K170" s="75">
        <v>-399458.98490966199</v>
      </c>
      <c r="L170" s="75">
        <v>-499741.36705207371</v>
      </c>
      <c r="M170" s="75">
        <v>-317592.59999999998</v>
      </c>
      <c r="N170" s="75">
        <v>-364069.2</v>
      </c>
      <c r="O170" s="150"/>
      <c r="P170" s="176" t="s">
        <v>59</v>
      </c>
      <c r="R170" s="135"/>
      <c r="S170" s="135"/>
    </row>
    <row r="171" spans="1:25" ht="13.5">
      <c r="A171" s="260" t="s">
        <v>57</v>
      </c>
      <c r="B171" s="245"/>
      <c r="C171" s="195">
        <v>989</v>
      </c>
      <c r="D171" s="75">
        <v>253078.8</v>
      </c>
      <c r="E171" s="75">
        <v>266736.59999999998</v>
      </c>
      <c r="F171" s="75">
        <v>271596.5</v>
      </c>
      <c r="G171" s="75">
        <v>272307</v>
      </c>
      <c r="H171" s="75">
        <v>283347.3</v>
      </c>
      <c r="I171" s="75">
        <v>432147.7</v>
      </c>
      <c r="J171" s="75">
        <v>303080.98128669447</v>
      </c>
      <c r="K171" s="75">
        <v>465679.70439999999</v>
      </c>
      <c r="L171" s="75">
        <v>456210.88312678749</v>
      </c>
      <c r="M171" s="75">
        <v>1169702.2042181147</v>
      </c>
      <c r="N171" s="75">
        <v>778896.4</v>
      </c>
      <c r="O171" s="150"/>
      <c r="P171" s="176" t="s">
        <v>60</v>
      </c>
      <c r="R171" s="136"/>
      <c r="S171" s="135"/>
    </row>
    <row r="172" spans="1:25" ht="15">
      <c r="A172" s="260" t="s">
        <v>223</v>
      </c>
      <c r="B172" s="245"/>
      <c r="C172" s="195"/>
      <c r="D172" s="75">
        <v>1002.3708</v>
      </c>
      <c r="E172" s="75">
        <v>30174.574000000001</v>
      </c>
      <c r="F172" s="75">
        <v>38718.523399999998</v>
      </c>
      <c r="G172" s="75">
        <v>18601.52</v>
      </c>
      <c r="H172" s="259">
        <v>0</v>
      </c>
      <c r="I172" s="75">
        <v>359604.3</v>
      </c>
      <c r="J172" s="75">
        <v>-70641.031036060303</v>
      </c>
      <c r="K172" s="75">
        <v>12376.843595627506</v>
      </c>
      <c r="L172" s="75">
        <v>-112717.964332148</v>
      </c>
      <c r="M172" s="75">
        <v>206912.4</v>
      </c>
      <c r="N172" s="75">
        <v>-3012.9</v>
      </c>
      <c r="O172" s="150"/>
      <c r="P172" s="234" t="s">
        <v>27</v>
      </c>
      <c r="R172" s="137"/>
      <c r="S172" s="138"/>
    </row>
    <row r="173" spans="1:25" ht="13.5">
      <c r="A173" s="260" t="s">
        <v>28</v>
      </c>
      <c r="B173" s="245"/>
      <c r="C173" s="195">
        <v>-204</v>
      </c>
      <c r="D173" s="75">
        <v>3618.532905</v>
      </c>
      <c r="E173" s="75">
        <v>-12684.832874000002</v>
      </c>
      <c r="F173" s="75">
        <v>-115974.10403999999</v>
      </c>
      <c r="G173" s="75">
        <v>124488.50505000001</v>
      </c>
      <c r="H173" s="75">
        <v>234602</v>
      </c>
      <c r="I173" s="75" t="s">
        <v>61</v>
      </c>
      <c r="J173" s="75" t="s">
        <v>61</v>
      </c>
      <c r="K173" s="75" t="s">
        <v>61</v>
      </c>
      <c r="L173" s="75" t="s">
        <v>61</v>
      </c>
      <c r="M173" s="75" t="s">
        <v>61</v>
      </c>
      <c r="N173" s="75" t="s">
        <v>61</v>
      </c>
      <c r="O173" s="150"/>
      <c r="P173" s="234" t="s">
        <v>317</v>
      </c>
      <c r="R173" s="135"/>
      <c r="S173" s="135"/>
    </row>
    <row r="174" spans="1:25" ht="13.5">
      <c r="A174" s="260" t="s">
        <v>30</v>
      </c>
      <c r="B174" s="245"/>
      <c r="C174" s="195">
        <v>80.3</v>
      </c>
      <c r="D174" s="75">
        <v>3513.7</v>
      </c>
      <c r="E174" s="75">
        <v>9651.6</v>
      </c>
      <c r="F174" s="75">
        <v>36537.699999999997</v>
      </c>
      <c r="G174" s="75">
        <v>31060.9</v>
      </c>
      <c r="H174" s="75">
        <v>92597.3</v>
      </c>
      <c r="I174" s="75">
        <v>11399.9</v>
      </c>
      <c r="J174" s="75">
        <v>317653.61290738574</v>
      </c>
      <c r="K174" s="75">
        <v>24813.455684197193</v>
      </c>
      <c r="L174" s="75">
        <v>-73458.569489301241</v>
      </c>
      <c r="M174" s="75">
        <v>209366.39999999999</v>
      </c>
      <c r="N174" s="75">
        <v>153963.9</v>
      </c>
      <c r="O174" s="150"/>
      <c r="P174" s="234" t="s">
        <v>31</v>
      </c>
    </row>
    <row r="175" spans="1:25" ht="13.5">
      <c r="A175" s="260" t="s">
        <v>279</v>
      </c>
      <c r="B175" s="245"/>
      <c r="C175" s="195"/>
      <c r="D175" s="75"/>
      <c r="E175" s="75"/>
      <c r="F175" s="75"/>
      <c r="G175" s="75"/>
      <c r="H175" s="75"/>
      <c r="I175" s="75">
        <f>-(I174+I172+I168)</f>
        <v>-120756.40000000002</v>
      </c>
      <c r="J175" s="75">
        <f t="shared" ref="J175:N175" si="72">-(J174+J172+J168)</f>
        <v>258977.48680998781</v>
      </c>
      <c r="K175" s="75">
        <f t="shared" si="72"/>
        <v>196034.6480544025</v>
      </c>
      <c r="L175" s="75">
        <f t="shared" si="72"/>
        <v>298927.5073255999</v>
      </c>
      <c r="M175" s="75">
        <f t="shared" si="72"/>
        <v>-344270</v>
      </c>
      <c r="N175" s="75">
        <f t="shared" si="72"/>
        <v>177936</v>
      </c>
      <c r="O175" s="150"/>
      <c r="P175" s="234" t="s">
        <v>282</v>
      </c>
    </row>
    <row r="176" spans="1:25" ht="14.25" thickBot="1">
      <c r="A176" s="202" t="s">
        <v>280</v>
      </c>
      <c r="B176" s="202"/>
      <c r="C176" s="243">
        <v>45.200000000000117</v>
      </c>
      <c r="D176" s="76">
        <f t="shared" ref="D176:H176" si="73">D168+D172+D173+D174</f>
        <v>516829.70370500005</v>
      </c>
      <c r="E176" s="76">
        <f t="shared" si="73"/>
        <v>693860.24112600007</v>
      </c>
      <c r="F176" s="76">
        <f t="shared" si="73"/>
        <v>867001.6193599999</v>
      </c>
      <c r="G176" s="76">
        <f t="shared" si="73"/>
        <v>962197.52505000005</v>
      </c>
      <c r="H176" s="76">
        <f t="shared" si="73"/>
        <v>27509.500000000015</v>
      </c>
      <c r="I176" s="265">
        <f>SUM(I168,I172,I174,I175)</f>
        <v>0</v>
      </c>
      <c r="J176" s="265">
        <f t="shared" ref="J176:N176" si="74">SUM(J168,J172,J174,J175)</f>
        <v>0</v>
      </c>
      <c r="K176" s="265">
        <f t="shared" si="74"/>
        <v>0</v>
      </c>
      <c r="L176" s="265">
        <f t="shared" si="74"/>
        <v>0</v>
      </c>
      <c r="M176" s="265">
        <f t="shared" si="74"/>
        <v>0</v>
      </c>
      <c r="N176" s="265">
        <f t="shared" si="74"/>
        <v>0</v>
      </c>
      <c r="O176" s="76"/>
      <c r="P176" s="244" t="s">
        <v>281</v>
      </c>
    </row>
    <row r="177" spans="1:17" s="139" customFormat="1" ht="18" customHeight="1">
      <c r="A177" s="205" t="s">
        <v>182</v>
      </c>
      <c r="B177" s="205"/>
      <c r="C177" s="205"/>
      <c r="D177" s="205"/>
      <c r="E177" s="205"/>
      <c r="F177" s="205"/>
      <c r="G177" s="205"/>
      <c r="H177" s="205"/>
      <c r="I177" s="206"/>
      <c r="J177" s="208"/>
      <c r="K177" s="205"/>
      <c r="L177" s="205"/>
      <c r="M177" s="205"/>
      <c r="N177" s="205"/>
      <c r="O177" s="205"/>
      <c r="P177" s="207" t="s">
        <v>190</v>
      </c>
      <c r="Q177" s="108"/>
    </row>
    <row r="178" spans="1:17">
      <c r="A178" s="205" t="s">
        <v>318</v>
      </c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10" t="s">
        <v>319</v>
      </c>
    </row>
    <row r="179" spans="1:17">
      <c r="A179" s="103"/>
      <c r="B179" s="104"/>
      <c r="C179" s="104"/>
      <c r="D179" s="104"/>
      <c r="E179" s="104"/>
      <c r="F179" s="104"/>
      <c r="G179" s="104"/>
      <c r="H179" s="104"/>
      <c r="I179" s="104"/>
      <c r="J179" s="35"/>
      <c r="K179" s="104"/>
      <c r="L179" s="104"/>
      <c r="M179" s="104"/>
      <c r="N179" s="146"/>
      <c r="O179" s="104"/>
      <c r="P179" s="106"/>
    </row>
    <row r="180" spans="1:17">
      <c r="A180" s="16"/>
      <c r="B180" s="34"/>
      <c r="C180" s="35"/>
      <c r="D180" s="35"/>
      <c r="E180" s="35"/>
      <c r="F180" s="35"/>
      <c r="G180" s="35"/>
      <c r="H180" s="35"/>
      <c r="I180" s="35"/>
      <c r="J180" s="8"/>
      <c r="K180" s="35"/>
      <c r="L180" s="35"/>
      <c r="M180" s="35"/>
      <c r="N180" s="160"/>
      <c r="O180" s="36"/>
      <c r="P180" s="37"/>
    </row>
    <row r="181" spans="1:17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47"/>
      <c r="O181" s="9"/>
      <c r="P181" s="11"/>
    </row>
    <row r="182" spans="1:17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47"/>
      <c r="O182" s="9"/>
      <c r="P182" s="11"/>
    </row>
    <row r="183" spans="1:17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47"/>
      <c r="O183" s="9"/>
      <c r="P183" s="11"/>
    </row>
    <row r="184" spans="1:17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47"/>
      <c r="O184" s="9"/>
      <c r="P184" s="11"/>
    </row>
    <row r="185" spans="1:17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47"/>
      <c r="O185" s="9"/>
      <c r="P185" s="11"/>
    </row>
    <row r="186" spans="1:17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47"/>
      <c r="O186" s="9"/>
      <c r="P186" s="10"/>
    </row>
    <row r="187" spans="1:17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47"/>
      <c r="O187" s="9"/>
      <c r="P187" s="11"/>
    </row>
    <row r="188" spans="1:17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47"/>
      <c r="O188" s="9"/>
      <c r="P188" s="11"/>
    </row>
    <row r="189" spans="1:17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47"/>
      <c r="O189" s="9"/>
      <c r="P189" s="11"/>
    </row>
    <row r="190" spans="1:17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47"/>
      <c r="O190" s="9"/>
      <c r="P190" s="11"/>
    </row>
    <row r="191" spans="1:17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47"/>
      <c r="O191" s="9"/>
      <c r="P191" s="11"/>
    </row>
    <row r="192" spans="1:17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47"/>
      <c r="O192" s="9"/>
      <c r="P192" s="11"/>
    </row>
    <row r="193" spans="3:16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47"/>
      <c r="O193" s="9"/>
      <c r="P193" s="11"/>
    </row>
    <row r="194" spans="3:16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47"/>
      <c r="O194" s="9"/>
      <c r="P194" s="11"/>
    </row>
    <row r="195" spans="3:16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47"/>
      <c r="O195" s="9"/>
      <c r="P195" s="11"/>
    </row>
    <row r="196" spans="3:1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47"/>
      <c r="O196" s="9"/>
      <c r="P196" s="11"/>
    </row>
    <row r="197" spans="3:16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47"/>
      <c r="O197" s="9"/>
      <c r="P197" s="11"/>
    </row>
    <row r="198" spans="3:16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47"/>
      <c r="O198" s="9"/>
      <c r="P198" s="11"/>
    </row>
    <row r="199" spans="3:16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47"/>
      <c r="O199" s="9"/>
      <c r="P199" s="11"/>
    </row>
    <row r="200" spans="3:16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47"/>
      <c r="O200" s="9"/>
      <c r="P200" s="10"/>
    </row>
    <row r="201" spans="3:16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47"/>
      <c r="O201" s="9"/>
      <c r="P201" s="11"/>
    </row>
    <row r="202" spans="3:16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47"/>
      <c r="O202" s="9"/>
      <c r="P202" s="11"/>
    </row>
    <row r="203" spans="3:16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47"/>
      <c r="O203" s="9"/>
      <c r="P203" s="11"/>
    </row>
    <row r="204" spans="3:16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47"/>
      <c r="O204" s="9"/>
      <c r="P204" s="11"/>
    </row>
    <row r="205" spans="3:16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47"/>
      <c r="O205" s="9"/>
      <c r="P205" s="11"/>
    </row>
    <row r="206" spans="3:1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47"/>
      <c r="O206" s="9"/>
      <c r="P206" s="11"/>
    </row>
    <row r="207" spans="3:16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47"/>
      <c r="O207" s="9"/>
      <c r="P207" s="11"/>
    </row>
    <row r="208" spans="3:16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47"/>
      <c r="O208" s="9"/>
      <c r="P208" s="11"/>
    </row>
    <row r="209" spans="3:16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47"/>
      <c r="O209" s="9"/>
      <c r="P209" s="11"/>
    </row>
    <row r="210" spans="3:16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47"/>
      <c r="O210" s="9"/>
      <c r="P210" s="11"/>
    </row>
    <row r="211" spans="3:16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47"/>
      <c r="O211" s="9"/>
      <c r="P211" s="11"/>
    </row>
    <row r="212" spans="3:16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47"/>
      <c r="O212" s="9"/>
      <c r="P212" s="11"/>
    </row>
    <row r="213" spans="3:16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47"/>
      <c r="O213" s="9"/>
      <c r="P213" s="11"/>
    </row>
    <row r="214" spans="3:16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47"/>
      <c r="O214" s="9"/>
      <c r="P214" s="11"/>
    </row>
    <row r="215" spans="3:16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47"/>
      <c r="O215" s="9"/>
      <c r="P215" s="11"/>
    </row>
    <row r="216" spans="3: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47"/>
      <c r="O216" s="9"/>
      <c r="P216" s="11"/>
    </row>
    <row r="217" spans="3:16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47"/>
      <c r="O217" s="9"/>
      <c r="P217" s="11"/>
    </row>
    <row r="218" spans="3:16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47"/>
      <c r="O218" s="9"/>
      <c r="P218" s="11"/>
    </row>
    <row r="219" spans="3:16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47"/>
      <c r="O219" s="9"/>
      <c r="P219" s="11"/>
    </row>
    <row r="220" spans="3:16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47"/>
      <c r="O220" s="9"/>
      <c r="P220" s="11"/>
    </row>
    <row r="221" spans="3:16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47"/>
      <c r="O221" s="9"/>
      <c r="P221" s="11"/>
    </row>
    <row r="222" spans="3:16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47"/>
      <c r="O222" s="9"/>
      <c r="P222" s="10"/>
    </row>
    <row r="223" spans="3:16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47"/>
      <c r="O223" s="9"/>
      <c r="P223" s="10"/>
    </row>
    <row r="224" spans="3:16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47"/>
      <c r="O224" s="9"/>
      <c r="P224" s="11"/>
    </row>
    <row r="225" spans="3:16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47"/>
      <c r="O225" s="9"/>
      <c r="P225" s="10"/>
    </row>
    <row r="226" spans="3:1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47"/>
      <c r="O226" s="9"/>
      <c r="P226" s="10"/>
    </row>
    <row r="227" spans="3:16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47"/>
      <c r="O227" s="9"/>
      <c r="P227" s="10"/>
    </row>
    <row r="228" spans="3:16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47"/>
      <c r="O228" s="9"/>
      <c r="P228" s="11"/>
    </row>
    <row r="229" spans="3:16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47"/>
      <c r="O229" s="9"/>
      <c r="P229" s="11"/>
    </row>
    <row r="230" spans="3:16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47"/>
      <c r="O230" s="9"/>
      <c r="P230" s="11"/>
    </row>
    <row r="231" spans="3:16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47"/>
      <c r="O231" s="9"/>
      <c r="P231" s="11"/>
    </row>
    <row r="232" spans="3:16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47"/>
      <c r="O232" s="9"/>
      <c r="P232" s="11"/>
    </row>
    <row r="233" spans="3:16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47"/>
      <c r="O233" s="9"/>
      <c r="P233" s="11"/>
    </row>
    <row r="234" spans="3:16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47"/>
      <c r="O234" s="9"/>
      <c r="P234" s="11"/>
    </row>
    <row r="235" spans="3:16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47"/>
      <c r="O235" s="9"/>
      <c r="P235" s="11"/>
    </row>
    <row r="236" spans="3:1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47"/>
      <c r="O236" s="9"/>
      <c r="P236" s="11"/>
    </row>
    <row r="237" spans="3:16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47"/>
      <c r="O237" s="9"/>
      <c r="P237" s="11"/>
    </row>
    <row r="238" spans="3:16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47"/>
      <c r="O238" s="9"/>
      <c r="P238" s="11"/>
    </row>
    <row r="239" spans="3:16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47"/>
      <c r="O239" s="9"/>
      <c r="P239" s="11"/>
    </row>
    <row r="240" spans="3:16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47"/>
      <c r="O240" s="9"/>
      <c r="P240" s="11"/>
    </row>
    <row r="241" spans="3:16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47"/>
      <c r="O241" s="9"/>
      <c r="P241" s="11"/>
    </row>
    <row r="242" spans="3:16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47"/>
      <c r="O242" s="9"/>
      <c r="P242" s="10"/>
    </row>
    <row r="243" spans="3:16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47"/>
      <c r="O243" s="9"/>
      <c r="P243" s="11"/>
    </row>
    <row r="244" spans="3:16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47"/>
      <c r="O244" s="9"/>
      <c r="P244" s="12"/>
    </row>
    <row r="245" spans="3:16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47"/>
      <c r="O245" s="9"/>
      <c r="P245" s="12"/>
    </row>
    <row r="246" spans="3:1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47"/>
      <c r="O246" s="9"/>
      <c r="P246" s="12"/>
    </row>
    <row r="247" spans="3:16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47"/>
      <c r="O247" s="9"/>
      <c r="P247" s="12"/>
    </row>
    <row r="248" spans="3:16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47"/>
      <c r="O248" s="9"/>
      <c r="P248" s="13"/>
    </row>
    <row r="249" spans="3:16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47"/>
      <c r="O249" s="9"/>
      <c r="P249" s="13"/>
    </row>
    <row r="250" spans="3:16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47"/>
      <c r="O250" s="9"/>
      <c r="P250" s="13"/>
    </row>
    <row r="251" spans="3:16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47"/>
      <c r="O251" s="9"/>
      <c r="P251" s="13"/>
    </row>
    <row r="252" spans="3:16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47"/>
      <c r="O252" s="9"/>
      <c r="P252" s="13"/>
    </row>
    <row r="253" spans="3:16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47"/>
      <c r="O253" s="9"/>
      <c r="P253" s="13"/>
    </row>
    <row r="254" spans="3:16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47"/>
      <c r="O254" s="9"/>
      <c r="P254" s="13"/>
    </row>
    <row r="255" spans="3:16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47"/>
      <c r="O255" s="9"/>
      <c r="P255" s="13"/>
    </row>
    <row r="256" spans="3:1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47"/>
      <c r="O256" s="9"/>
      <c r="P256" s="13"/>
    </row>
    <row r="257" spans="3:16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47"/>
      <c r="O257" s="9"/>
      <c r="P257" s="13"/>
    </row>
    <row r="258" spans="3:16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47"/>
      <c r="O258" s="9"/>
      <c r="P258" s="13"/>
    </row>
    <row r="259" spans="3:16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47"/>
      <c r="O259" s="9"/>
      <c r="P259" s="13"/>
    </row>
    <row r="260" spans="3:16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47"/>
      <c r="O260" s="9"/>
      <c r="P260" s="13"/>
    </row>
    <row r="261" spans="3:16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47"/>
      <c r="O261" s="9"/>
      <c r="P261" s="13"/>
    </row>
    <row r="262" spans="3:16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47"/>
      <c r="O262" s="9"/>
      <c r="P262" s="13"/>
    </row>
    <row r="263" spans="3:16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47"/>
      <c r="O263" s="9"/>
      <c r="P263" s="13"/>
    </row>
    <row r="264" spans="3:16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47"/>
      <c r="O264" s="9"/>
      <c r="P264" s="13"/>
    </row>
    <row r="265" spans="3:16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47"/>
      <c r="O265" s="9"/>
      <c r="P265" s="13"/>
    </row>
    <row r="266" spans="3:1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47"/>
      <c r="O266" s="9"/>
      <c r="P266" s="13"/>
    </row>
    <row r="267" spans="3:16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47"/>
      <c r="O267" s="9"/>
      <c r="P267" s="13"/>
    </row>
    <row r="268" spans="3:16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47"/>
      <c r="O268" s="9"/>
      <c r="P268" s="13"/>
    </row>
    <row r="269" spans="3:16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47"/>
      <c r="O269" s="9"/>
      <c r="P269" s="13"/>
    </row>
    <row r="270" spans="3:16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47"/>
      <c r="O270" s="9"/>
      <c r="P270" s="13"/>
    </row>
    <row r="271" spans="3:16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47"/>
      <c r="O271" s="9"/>
      <c r="P271" s="13"/>
    </row>
    <row r="272" spans="3:16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47"/>
      <c r="O272" s="9"/>
      <c r="P272" s="13"/>
    </row>
    <row r="273" spans="3:16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47"/>
      <c r="O273" s="9"/>
      <c r="P273" s="13"/>
    </row>
    <row r="274" spans="3:16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47"/>
      <c r="O274" s="9"/>
      <c r="P274" s="13"/>
    </row>
    <row r="275" spans="3:16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47"/>
      <c r="O275" s="9"/>
      <c r="P275" s="13"/>
    </row>
    <row r="276" spans="3:1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47"/>
      <c r="O276" s="9"/>
      <c r="P276" s="13"/>
    </row>
    <row r="277" spans="3:16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47"/>
      <c r="O277" s="9"/>
      <c r="P277" s="13"/>
    </row>
    <row r="278" spans="3:16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47"/>
      <c r="O278" s="9"/>
      <c r="P278" s="13"/>
    </row>
    <row r="279" spans="3:16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47"/>
      <c r="O279" s="9"/>
      <c r="P279" s="13"/>
    </row>
    <row r="280" spans="3:16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47"/>
      <c r="O280" s="9"/>
      <c r="P280" s="13"/>
    </row>
    <row r="281" spans="3:16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47"/>
      <c r="O281" s="9"/>
      <c r="P281" s="13"/>
    </row>
    <row r="282" spans="3:16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47"/>
      <c r="O282" s="9"/>
      <c r="P282" s="13"/>
    </row>
    <row r="283" spans="3:16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47"/>
      <c r="O283" s="9"/>
      <c r="P283" s="13"/>
    </row>
    <row r="284" spans="3:16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47"/>
      <c r="O284" s="9"/>
      <c r="P284" s="13"/>
    </row>
    <row r="285" spans="3:16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47"/>
      <c r="O285" s="9"/>
      <c r="P285" s="13"/>
    </row>
    <row r="286" spans="3:1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47"/>
      <c r="O286" s="9"/>
      <c r="P286" s="13"/>
    </row>
    <row r="287" spans="3:16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47"/>
      <c r="O287" s="9"/>
      <c r="P287" s="13"/>
    </row>
    <row r="288" spans="3:16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47"/>
      <c r="O288" s="9"/>
      <c r="P288" s="13"/>
    </row>
    <row r="289" spans="3:16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47"/>
      <c r="O289" s="9"/>
      <c r="P289" s="13"/>
    </row>
    <row r="290" spans="3:16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47"/>
      <c r="O290" s="9"/>
      <c r="P290" s="13"/>
    </row>
    <row r="291" spans="3:16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47"/>
      <c r="O291" s="9"/>
      <c r="P291" s="13"/>
    </row>
    <row r="292" spans="3:16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47"/>
      <c r="O292" s="9"/>
      <c r="P292" s="13"/>
    </row>
    <row r="293" spans="3:16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47"/>
      <c r="O293" s="9"/>
      <c r="P293" s="13"/>
    </row>
    <row r="294" spans="3:16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47"/>
      <c r="O294" s="9"/>
      <c r="P294" s="13"/>
    </row>
    <row r="295" spans="3:16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47"/>
      <c r="O295" s="9"/>
      <c r="P295" s="13"/>
    </row>
    <row r="296" spans="3:1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47"/>
      <c r="O296" s="9"/>
      <c r="P296" s="13"/>
    </row>
    <row r="297" spans="3:16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47"/>
      <c r="O297" s="9"/>
      <c r="P297" s="13"/>
    </row>
    <row r="298" spans="3:16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47"/>
      <c r="O298" s="9"/>
      <c r="P298" s="13"/>
    </row>
    <row r="299" spans="3:16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47"/>
      <c r="O299" s="9"/>
      <c r="P299" s="13"/>
    </row>
    <row r="300" spans="3:16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47"/>
      <c r="O300" s="9"/>
      <c r="P300" s="13"/>
    </row>
    <row r="301" spans="3:16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47"/>
      <c r="O301" s="9"/>
      <c r="P301" s="13"/>
    </row>
    <row r="302" spans="3:16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47"/>
      <c r="O302" s="9"/>
      <c r="P302" s="13"/>
    </row>
    <row r="303" spans="3:16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47"/>
      <c r="O303" s="9"/>
      <c r="P303" s="13"/>
    </row>
    <row r="304" spans="3:16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47"/>
      <c r="O304" s="9"/>
      <c r="P304" s="13"/>
    </row>
    <row r="305" spans="3:16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47"/>
      <c r="O305" s="9"/>
      <c r="P305" s="13"/>
    </row>
    <row r="306" spans="3:1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47"/>
      <c r="O306" s="9"/>
      <c r="P306" s="13"/>
    </row>
    <row r="307" spans="3:16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47"/>
      <c r="O307" s="9"/>
      <c r="P307" s="13"/>
    </row>
    <row r="308" spans="3:16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47"/>
      <c r="O308" s="9"/>
      <c r="P308" s="13"/>
    </row>
    <row r="309" spans="3:16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47"/>
      <c r="O309" s="9"/>
      <c r="P309" s="13"/>
    </row>
    <row r="310" spans="3:16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47"/>
      <c r="O310" s="9"/>
      <c r="P310" s="13"/>
    </row>
    <row r="311" spans="3:16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47"/>
      <c r="O311" s="9"/>
      <c r="P311" s="13"/>
    </row>
    <row r="312" spans="3:16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47"/>
      <c r="O312" s="9"/>
      <c r="P312" s="13"/>
    </row>
    <row r="313" spans="3:16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47"/>
      <c r="O313" s="9"/>
      <c r="P313" s="13"/>
    </row>
    <row r="314" spans="3:16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47"/>
      <c r="O314" s="9"/>
      <c r="P314" s="13"/>
    </row>
    <row r="315" spans="3:16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47"/>
      <c r="O315" s="9"/>
      <c r="P315" s="13"/>
    </row>
    <row r="316" spans="3: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47"/>
      <c r="O316" s="9"/>
      <c r="P316" s="13"/>
    </row>
    <row r="317" spans="3:16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47"/>
      <c r="O317" s="9"/>
      <c r="P317" s="13"/>
    </row>
    <row r="318" spans="3:16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47"/>
      <c r="O318" s="9"/>
      <c r="P318" s="13"/>
    </row>
    <row r="319" spans="3:16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47"/>
      <c r="O319" s="9"/>
      <c r="P319" s="13"/>
    </row>
    <row r="320" spans="3:16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47"/>
      <c r="O320" s="9"/>
      <c r="P320" s="13"/>
    </row>
    <row r="321" spans="3:16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47"/>
      <c r="O321" s="9"/>
      <c r="P321" s="13"/>
    </row>
    <row r="322" spans="3:16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47"/>
      <c r="O322" s="9"/>
      <c r="P322" s="13"/>
    </row>
    <row r="323" spans="3:16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47"/>
      <c r="O323" s="9"/>
      <c r="P323" s="13"/>
    </row>
    <row r="324" spans="3:16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47"/>
      <c r="O324" s="9"/>
      <c r="P324" s="13"/>
    </row>
    <row r="325" spans="3:16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47"/>
      <c r="O325" s="9"/>
      <c r="P325" s="13"/>
    </row>
    <row r="326" spans="3:1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47"/>
      <c r="O326" s="9"/>
      <c r="P326" s="13"/>
    </row>
    <row r="327" spans="3:16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47"/>
      <c r="O327" s="9"/>
      <c r="P327" s="13"/>
    </row>
    <row r="328" spans="3:16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47"/>
      <c r="O328" s="9"/>
      <c r="P328" s="13"/>
    </row>
    <row r="329" spans="3:16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47"/>
      <c r="O329" s="9"/>
      <c r="P329" s="13"/>
    </row>
    <row r="330" spans="3:16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47"/>
      <c r="O330" s="9"/>
      <c r="P330" s="13"/>
    </row>
    <row r="331" spans="3:16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47"/>
      <c r="O331" s="9"/>
      <c r="P331" s="13"/>
    </row>
    <row r="332" spans="3:16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47"/>
      <c r="O332" s="9"/>
      <c r="P332" s="13"/>
    </row>
    <row r="333" spans="3:16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47"/>
      <c r="O333" s="9"/>
      <c r="P333" s="13"/>
    </row>
    <row r="334" spans="3:16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47"/>
      <c r="O334" s="9"/>
      <c r="P334" s="13"/>
    </row>
    <row r="335" spans="3:16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47"/>
      <c r="O335" s="9"/>
      <c r="P335" s="13"/>
    </row>
    <row r="336" spans="3:1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47"/>
      <c r="O336" s="9"/>
      <c r="P336" s="13"/>
    </row>
    <row r="337" spans="3:16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47"/>
      <c r="O337" s="9"/>
      <c r="P337" s="13"/>
    </row>
    <row r="338" spans="3:16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47"/>
      <c r="O338" s="9"/>
      <c r="P338" s="13"/>
    </row>
    <row r="339" spans="3:16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47"/>
      <c r="O339" s="9"/>
      <c r="P339" s="13"/>
    </row>
    <row r="340" spans="3:16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47"/>
      <c r="O340" s="9"/>
      <c r="P340" s="13"/>
    </row>
    <row r="341" spans="3:16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47"/>
      <c r="O341" s="9"/>
      <c r="P341" s="13"/>
    </row>
    <row r="342" spans="3:16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47"/>
      <c r="O342" s="9"/>
      <c r="P342" s="13"/>
    </row>
    <row r="343" spans="3:16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47"/>
      <c r="O343" s="9"/>
      <c r="P343" s="13"/>
    </row>
    <row r="344" spans="3:16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47"/>
      <c r="O344" s="9"/>
      <c r="P344" s="13"/>
    </row>
    <row r="345" spans="3:16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47"/>
      <c r="O345" s="9"/>
      <c r="P345" s="13"/>
    </row>
    <row r="346" spans="3:1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47"/>
      <c r="O346" s="9"/>
      <c r="P346" s="13"/>
    </row>
    <row r="347" spans="3:16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47"/>
      <c r="O347" s="9"/>
      <c r="P347" s="13"/>
    </row>
    <row r="348" spans="3:16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47"/>
      <c r="O348" s="9"/>
      <c r="P348" s="13"/>
    </row>
    <row r="349" spans="3:16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47"/>
      <c r="O349" s="9"/>
      <c r="P349" s="13"/>
    </row>
    <row r="350" spans="3:16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47"/>
      <c r="O350" s="9"/>
      <c r="P350" s="13"/>
    </row>
    <row r="351" spans="3:16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47"/>
      <c r="O351" s="9"/>
      <c r="P351" s="13"/>
    </row>
    <row r="352" spans="3:16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47"/>
      <c r="O352" s="9"/>
      <c r="P352" s="13"/>
    </row>
    <row r="353" spans="3:16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47"/>
      <c r="O353" s="9"/>
      <c r="P353" s="13"/>
    </row>
    <row r="354" spans="3:16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47"/>
      <c r="O354" s="9"/>
      <c r="P354" s="13"/>
    </row>
    <row r="355" spans="3:16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47"/>
      <c r="O355" s="9"/>
      <c r="P355" s="13"/>
    </row>
    <row r="356" spans="3:1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47"/>
      <c r="O356" s="9"/>
      <c r="P356" s="13"/>
    </row>
    <row r="357" spans="3:16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47"/>
      <c r="O357" s="9"/>
      <c r="P357" s="13"/>
    </row>
    <row r="358" spans="3:16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47"/>
      <c r="O358" s="9"/>
      <c r="P358" s="13"/>
    </row>
    <row r="359" spans="3:16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47"/>
      <c r="O359" s="9"/>
      <c r="P359" s="13"/>
    </row>
    <row r="360" spans="3:16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47"/>
      <c r="O360" s="9"/>
      <c r="P360" s="13"/>
    </row>
    <row r="361" spans="3:16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47"/>
      <c r="O361" s="9"/>
      <c r="P361" s="13"/>
    </row>
    <row r="362" spans="3:16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47"/>
      <c r="O362" s="9"/>
      <c r="P362" s="13"/>
    </row>
    <row r="363" spans="3:16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47"/>
      <c r="O363" s="9"/>
      <c r="P363" s="13"/>
    </row>
    <row r="364" spans="3:16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47"/>
      <c r="O364" s="9"/>
      <c r="P364" s="13"/>
    </row>
    <row r="365" spans="3:16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47"/>
      <c r="O365" s="9"/>
      <c r="P365" s="9"/>
    </row>
    <row r="366" spans="3:1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47"/>
      <c r="O366" s="9"/>
      <c r="P366" s="9"/>
    </row>
    <row r="367" spans="3:16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47"/>
      <c r="O367" s="9"/>
      <c r="P367" s="9"/>
    </row>
    <row r="368" spans="3:16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47"/>
      <c r="O368" s="9"/>
      <c r="P368" s="9"/>
    </row>
    <row r="369" spans="3:16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47"/>
      <c r="O369" s="9"/>
      <c r="P369" s="9"/>
    </row>
    <row r="370" spans="3:16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47"/>
      <c r="O370" s="9"/>
      <c r="P370" s="9"/>
    </row>
    <row r="371" spans="3:16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47"/>
      <c r="O371" s="9"/>
      <c r="P371" s="9"/>
    </row>
    <row r="372" spans="3:16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47"/>
      <c r="O372" s="9"/>
      <c r="P372" s="9"/>
    </row>
    <row r="373" spans="3:16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47"/>
      <c r="O373" s="9"/>
      <c r="P373" s="9"/>
    </row>
    <row r="374" spans="3:16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47"/>
      <c r="O374" s="9"/>
      <c r="P374" s="9"/>
    </row>
    <row r="375" spans="3:16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47"/>
      <c r="O375" s="9"/>
      <c r="P375" s="9"/>
    </row>
    <row r="376" spans="3:1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47"/>
      <c r="O376" s="9"/>
      <c r="P376" s="9"/>
    </row>
    <row r="377" spans="3:16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47"/>
      <c r="O377" s="9"/>
      <c r="P377" s="9"/>
    </row>
    <row r="378" spans="3:16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47"/>
      <c r="O378" s="9"/>
      <c r="P378" s="9"/>
    </row>
    <row r="379" spans="3:16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47"/>
      <c r="O379" s="9"/>
      <c r="P379" s="9"/>
    </row>
    <row r="380" spans="3:16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47"/>
      <c r="O380" s="9"/>
      <c r="P380" s="9"/>
    </row>
    <row r="381" spans="3:16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47"/>
      <c r="O381" s="9"/>
      <c r="P381" s="9"/>
    </row>
    <row r="382" spans="3:16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47"/>
      <c r="O382" s="9"/>
      <c r="P382" s="9"/>
    </row>
    <row r="383" spans="3:16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47"/>
      <c r="O383" s="9"/>
      <c r="P383" s="9"/>
    </row>
    <row r="384" spans="3:16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47"/>
      <c r="O384" s="9"/>
      <c r="P384" s="9"/>
    </row>
    <row r="385" spans="3:16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47"/>
      <c r="O385" s="9"/>
      <c r="P385" s="9"/>
    </row>
    <row r="386" spans="3:1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47"/>
      <c r="O386" s="9"/>
      <c r="P386" s="9"/>
    </row>
    <row r="387" spans="3:16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47"/>
      <c r="O387" s="9"/>
      <c r="P387" s="9"/>
    </row>
    <row r="388" spans="3:16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47"/>
      <c r="O388" s="9"/>
      <c r="P388" s="9"/>
    </row>
    <row r="389" spans="3:16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47"/>
      <c r="O389" s="9"/>
      <c r="P389" s="9"/>
    </row>
    <row r="390" spans="3:16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47"/>
      <c r="O390" s="9"/>
      <c r="P390" s="9"/>
    </row>
    <row r="391" spans="3:16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147"/>
      <c r="O391" s="9"/>
      <c r="P391" s="9"/>
    </row>
    <row r="392" spans="3:16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147"/>
      <c r="O392" s="9"/>
      <c r="P392" s="9"/>
    </row>
    <row r="393" spans="3:16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47"/>
      <c r="O393" s="9"/>
      <c r="P393" s="9"/>
    </row>
    <row r="394" spans="3:16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47"/>
      <c r="O394" s="9"/>
      <c r="P394" s="9"/>
    </row>
    <row r="395" spans="3:16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47"/>
      <c r="O395" s="9"/>
      <c r="P395" s="9"/>
    </row>
    <row r="396" spans="3:16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47"/>
      <c r="O396" s="9"/>
      <c r="P396" s="9"/>
    </row>
    <row r="397" spans="3:16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47"/>
      <c r="O397" s="9"/>
      <c r="P397" s="9"/>
    </row>
    <row r="398" spans="3:16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147"/>
      <c r="O398" s="9"/>
      <c r="P398" s="9"/>
    </row>
    <row r="399" spans="3:16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147"/>
      <c r="O399" s="9"/>
      <c r="P399" s="9"/>
    </row>
    <row r="400" spans="3:16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47"/>
      <c r="O400" s="9"/>
      <c r="P400" s="9"/>
    </row>
    <row r="401" spans="3:16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47"/>
      <c r="O401" s="9"/>
      <c r="P401" s="9"/>
    </row>
    <row r="402" spans="3:16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147"/>
      <c r="O402" s="9"/>
      <c r="P402" s="9"/>
    </row>
    <row r="403" spans="3:16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147"/>
      <c r="O403" s="9"/>
      <c r="P403" s="9"/>
    </row>
    <row r="404" spans="3:16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147"/>
      <c r="O404" s="9"/>
      <c r="P404" s="9"/>
    </row>
    <row r="405" spans="3:16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147"/>
      <c r="O405" s="9"/>
      <c r="P405" s="9"/>
    </row>
    <row r="406" spans="3:16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147"/>
      <c r="O406" s="9"/>
      <c r="P406" s="9"/>
    </row>
    <row r="407" spans="3:16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147"/>
      <c r="O407" s="9"/>
      <c r="P407" s="9"/>
    </row>
    <row r="408" spans="3:16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147"/>
      <c r="O408" s="9"/>
      <c r="P408" s="9"/>
    </row>
    <row r="409" spans="3:16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147"/>
      <c r="O409" s="9"/>
      <c r="P409" s="9"/>
    </row>
    <row r="410" spans="3:16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147"/>
      <c r="O410" s="9"/>
      <c r="P410" s="9"/>
    </row>
    <row r="411" spans="3:16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147"/>
      <c r="O411" s="9"/>
      <c r="P411" s="9"/>
    </row>
    <row r="412" spans="3:16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147"/>
      <c r="O412" s="9"/>
      <c r="P412" s="9"/>
    </row>
    <row r="413" spans="3:16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147"/>
      <c r="O413" s="9"/>
      <c r="P413" s="9"/>
    </row>
    <row r="414" spans="3:16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147"/>
      <c r="O414" s="9"/>
      <c r="P414" s="9"/>
    </row>
    <row r="415" spans="3:16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147"/>
      <c r="O415" s="9"/>
      <c r="P415" s="9"/>
    </row>
    <row r="416" spans="3:16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147"/>
      <c r="O416" s="9"/>
      <c r="P416" s="9"/>
    </row>
    <row r="417" spans="3:16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147"/>
      <c r="O417" s="9"/>
      <c r="P417" s="9"/>
    </row>
    <row r="418" spans="3:16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147"/>
      <c r="O418" s="9"/>
      <c r="P418" s="9"/>
    </row>
    <row r="419" spans="3:16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147"/>
      <c r="O419" s="9"/>
      <c r="P419" s="9"/>
    </row>
    <row r="420" spans="3:16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147"/>
      <c r="O420" s="9"/>
      <c r="P420" s="9"/>
    </row>
    <row r="421" spans="3:16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147"/>
      <c r="O421" s="9"/>
      <c r="P421" s="9"/>
    </row>
    <row r="422" spans="3:16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147"/>
      <c r="O422" s="9"/>
      <c r="P422" s="9"/>
    </row>
    <row r="423" spans="3:16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147"/>
      <c r="O423" s="9"/>
      <c r="P423" s="9"/>
    </row>
    <row r="424" spans="3:16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147"/>
      <c r="O424" s="9"/>
      <c r="P424" s="9"/>
    </row>
    <row r="425" spans="3:16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147"/>
      <c r="O425" s="9"/>
      <c r="P425" s="9"/>
    </row>
    <row r="426" spans="3:16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147"/>
      <c r="O426" s="9"/>
      <c r="P426" s="9"/>
    </row>
    <row r="427" spans="3:16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147"/>
      <c r="O427" s="9"/>
      <c r="P427" s="9"/>
    </row>
    <row r="428" spans="3:16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147"/>
      <c r="O428" s="9"/>
      <c r="P428" s="9"/>
    </row>
    <row r="429" spans="3:16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147"/>
      <c r="O429" s="9"/>
      <c r="P429" s="9"/>
    </row>
    <row r="430" spans="3:16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147"/>
      <c r="O430" s="9"/>
      <c r="P430" s="9"/>
    </row>
    <row r="431" spans="3:16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147"/>
      <c r="O431" s="9"/>
      <c r="P431" s="9"/>
    </row>
    <row r="432" spans="3:16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147"/>
      <c r="O432" s="9"/>
      <c r="P432" s="9"/>
    </row>
    <row r="433" spans="3:16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147"/>
      <c r="O433" s="9"/>
      <c r="P433" s="9"/>
    </row>
    <row r="434" spans="3:16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147"/>
      <c r="O434" s="9"/>
      <c r="P434" s="9"/>
    </row>
    <row r="435" spans="3:16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147"/>
      <c r="O435" s="9"/>
      <c r="P435" s="9"/>
    </row>
    <row r="436" spans="3:16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147"/>
      <c r="O436" s="9"/>
      <c r="P436" s="9"/>
    </row>
    <row r="437" spans="3:16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147"/>
      <c r="O437" s="9"/>
      <c r="P437" s="9"/>
    </row>
    <row r="438" spans="3:16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147"/>
      <c r="O438" s="9"/>
      <c r="P438" s="9"/>
    </row>
    <row r="439" spans="3:16">
      <c r="C439" s="8"/>
      <c r="D439" s="8"/>
      <c r="E439" s="8"/>
      <c r="F439" s="8"/>
      <c r="G439" s="8"/>
      <c r="H439" s="8"/>
      <c r="I439" s="8"/>
      <c r="K439" s="8"/>
      <c r="L439" s="8"/>
      <c r="M439" s="8"/>
      <c r="N439" s="147"/>
      <c r="O439" s="9"/>
      <c r="P439" s="9"/>
    </row>
    <row r="440" spans="3:16">
      <c r="O440" s="9"/>
      <c r="P440" s="9"/>
    </row>
    <row r="441" spans="3:16">
      <c r="O441" s="9"/>
      <c r="P441" s="9"/>
    </row>
    <row r="442" spans="3:16">
      <c r="O442" s="9"/>
      <c r="P442" s="9"/>
    </row>
    <row r="443" spans="3:16">
      <c r="O443" s="9"/>
      <c r="P443" s="9"/>
    </row>
    <row r="444" spans="3:16">
      <c r="O444" s="9"/>
      <c r="P444" s="9"/>
    </row>
    <row r="445" spans="3:16">
      <c r="O445" s="9"/>
      <c r="P445" s="9"/>
    </row>
    <row r="446" spans="3:16">
      <c r="O446" s="9"/>
      <c r="P446" s="9"/>
    </row>
    <row r="447" spans="3:16">
      <c r="O447" s="9"/>
      <c r="P447" s="9"/>
    </row>
    <row r="448" spans="3:16">
      <c r="O448" s="9"/>
      <c r="P448" s="9"/>
    </row>
    <row r="449" spans="15:16">
      <c r="O449" s="9"/>
      <c r="P449" s="9"/>
    </row>
    <row r="450" spans="15:16">
      <c r="O450" s="9"/>
      <c r="P450" s="9"/>
    </row>
    <row r="451" spans="15:16">
      <c r="O451" s="9"/>
      <c r="P451" s="9"/>
    </row>
    <row r="452" spans="15:16">
      <c r="O452" s="9"/>
      <c r="P452" s="9"/>
    </row>
    <row r="453" spans="15:16">
      <c r="O453" s="9"/>
      <c r="P453" s="9"/>
    </row>
    <row r="454" spans="15:16">
      <c r="O454" s="9"/>
      <c r="P454" s="9"/>
    </row>
    <row r="455" spans="15:16">
      <c r="O455" s="9"/>
      <c r="P455" s="9"/>
    </row>
    <row r="456" spans="15:16">
      <c r="O456" s="9"/>
      <c r="P456" s="9"/>
    </row>
    <row r="457" spans="15:16">
      <c r="O457" s="9"/>
      <c r="P457" s="9"/>
    </row>
    <row r="458" spans="15:16">
      <c r="O458" s="9"/>
      <c r="P458" s="9"/>
    </row>
    <row r="459" spans="15:16">
      <c r="O459" s="9"/>
      <c r="P459" s="9"/>
    </row>
    <row r="460" spans="15:16">
      <c r="O460" s="9"/>
      <c r="P460" s="9"/>
    </row>
    <row r="461" spans="15:16">
      <c r="O461" s="9"/>
      <c r="P461" s="9"/>
    </row>
    <row r="462" spans="15:16">
      <c r="O462" s="9"/>
      <c r="P462" s="9"/>
    </row>
    <row r="463" spans="15:16">
      <c r="O463" s="9"/>
      <c r="P463" s="9"/>
    </row>
    <row r="464" spans="15:16">
      <c r="O464" s="9"/>
      <c r="P464" s="9"/>
    </row>
    <row r="465" spans="15:16">
      <c r="O465" s="9"/>
      <c r="P465" s="9"/>
    </row>
    <row r="466" spans="15:16">
      <c r="O466" s="9"/>
      <c r="P466" s="9"/>
    </row>
    <row r="467" spans="15:16">
      <c r="O467" s="9"/>
      <c r="P467" s="9"/>
    </row>
    <row r="468" spans="15:16">
      <c r="O468" s="9"/>
      <c r="P468" s="9"/>
    </row>
    <row r="469" spans="15:16">
      <c r="O469" s="9"/>
      <c r="P469" s="9"/>
    </row>
    <row r="470" spans="15:16">
      <c r="O470" s="9"/>
      <c r="P470" s="9"/>
    </row>
    <row r="471" spans="15:16">
      <c r="O471" s="9"/>
      <c r="P471" s="9"/>
    </row>
    <row r="472" spans="15:16">
      <c r="O472" s="9"/>
      <c r="P472" s="9"/>
    </row>
    <row r="473" spans="15:16">
      <c r="O473" s="9"/>
      <c r="P473" s="9"/>
    </row>
    <row r="474" spans="15:16">
      <c r="O474" s="9"/>
      <c r="P474" s="9"/>
    </row>
    <row r="475" spans="15:16">
      <c r="O475" s="9"/>
      <c r="P475" s="9"/>
    </row>
    <row r="476" spans="15:16">
      <c r="O476" s="9"/>
      <c r="P476" s="9"/>
    </row>
    <row r="477" spans="15:16">
      <c r="O477" s="9"/>
      <c r="P477" s="9"/>
    </row>
    <row r="478" spans="15:16">
      <c r="O478" s="9"/>
      <c r="P478" s="9"/>
    </row>
    <row r="479" spans="15:16">
      <c r="O479" s="9"/>
      <c r="P479" s="9"/>
    </row>
    <row r="480" spans="15:16">
      <c r="O480" s="9"/>
      <c r="P480" s="9"/>
    </row>
    <row r="481" spans="15:16">
      <c r="O481" s="9"/>
      <c r="P481" s="9"/>
    </row>
    <row r="482" spans="15:16">
      <c r="O482" s="9"/>
      <c r="P482" s="9"/>
    </row>
    <row r="483" spans="15:16">
      <c r="O483" s="9"/>
      <c r="P483" s="9"/>
    </row>
    <row r="484" spans="15:16">
      <c r="O484" s="9"/>
      <c r="P484" s="9"/>
    </row>
    <row r="485" spans="15:16">
      <c r="O485" s="9"/>
      <c r="P485" s="9"/>
    </row>
    <row r="486" spans="15:16">
      <c r="O486" s="9"/>
      <c r="P486" s="9"/>
    </row>
    <row r="487" spans="15:16">
      <c r="O487" s="9"/>
      <c r="P487" s="9"/>
    </row>
    <row r="488" spans="15:16">
      <c r="O488" s="9"/>
      <c r="P488" s="9"/>
    </row>
    <row r="489" spans="15:16">
      <c r="O489" s="9"/>
      <c r="P489" s="9"/>
    </row>
    <row r="490" spans="15:16">
      <c r="O490" s="9"/>
      <c r="P490" s="9"/>
    </row>
    <row r="491" spans="15:16">
      <c r="O491" s="9"/>
      <c r="P491" s="9"/>
    </row>
    <row r="492" spans="15:16">
      <c r="O492" s="9"/>
      <c r="P492" s="9"/>
    </row>
    <row r="493" spans="15:16">
      <c r="O493" s="9"/>
      <c r="P493" s="9"/>
    </row>
    <row r="494" spans="15:16">
      <c r="O494" s="9"/>
      <c r="P494" s="9"/>
    </row>
    <row r="495" spans="15:16">
      <c r="O495" s="9"/>
      <c r="P495" s="9"/>
    </row>
    <row r="496" spans="15:16">
      <c r="O496" s="9"/>
      <c r="P496" s="9"/>
    </row>
    <row r="497" spans="15:16">
      <c r="O497" s="9"/>
      <c r="P497" s="9"/>
    </row>
    <row r="498" spans="15:16">
      <c r="O498" s="9"/>
      <c r="P498" s="9"/>
    </row>
    <row r="499" spans="15:16">
      <c r="O499" s="9"/>
      <c r="P499" s="9"/>
    </row>
    <row r="500" spans="15:16">
      <c r="O500" s="9"/>
      <c r="P500" s="9"/>
    </row>
    <row r="501" spans="15:16">
      <c r="O501" s="9"/>
      <c r="P501" s="9"/>
    </row>
    <row r="502" spans="15:16">
      <c r="O502" s="9"/>
      <c r="P502" s="9"/>
    </row>
    <row r="503" spans="15:16">
      <c r="O503" s="9"/>
      <c r="P503" s="9"/>
    </row>
    <row r="504" spans="15:16">
      <c r="O504" s="9"/>
      <c r="P504" s="9"/>
    </row>
    <row r="505" spans="15:16">
      <c r="O505" s="9"/>
      <c r="P505" s="9"/>
    </row>
    <row r="506" spans="15:16">
      <c r="O506" s="9"/>
      <c r="P506" s="9"/>
    </row>
    <row r="507" spans="15:16">
      <c r="O507" s="9"/>
      <c r="P507" s="9"/>
    </row>
    <row r="508" spans="15:16">
      <c r="O508" s="9"/>
      <c r="P508" s="9"/>
    </row>
    <row r="509" spans="15:16">
      <c r="O509" s="9"/>
      <c r="P509" s="9"/>
    </row>
    <row r="510" spans="15:16">
      <c r="O510" s="9"/>
      <c r="P510" s="9"/>
    </row>
    <row r="511" spans="15:16">
      <c r="O511" s="9"/>
      <c r="P511" s="9"/>
    </row>
    <row r="512" spans="15:16">
      <c r="O512" s="9"/>
      <c r="P512" s="9"/>
    </row>
    <row r="513" spans="15:16">
      <c r="O513" s="9"/>
      <c r="P513" s="9"/>
    </row>
    <row r="514" spans="15:16">
      <c r="O514" s="9"/>
      <c r="P514" s="9"/>
    </row>
    <row r="515" spans="15:16">
      <c r="O515" s="9"/>
      <c r="P515" s="9"/>
    </row>
    <row r="516" spans="15:16">
      <c r="O516" s="9"/>
      <c r="P516" s="9"/>
    </row>
    <row r="517" spans="15:16">
      <c r="O517" s="9"/>
      <c r="P517" s="9"/>
    </row>
    <row r="518" spans="15:16">
      <c r="O518" s="9"/>
      <c r="P518" s="9"/>
    </row>
    <row r="519" spans="15:16">
      <c r="O519" s="9"/>
      <c r="P519" s="9"/>
    </row>
    <row r="520" spans="15:16">
      <c r="O520" s="9"/>
      <c r="P520" s="9"/>
    </row>
    <row r="521" spans="15:16">
      <c r="O521" s="9"/>
      <c r="P521" s="9"/>
    </row>
    <row r="522" spans="15:16">
      <c r="O522" s="9"/>
      <c r="P522" s="9"/>
    </row>
    <row r="523" spans="15:16">
      <c r="O523" s="9"/>
      <c r="P523" s="9"/>
    </row>
    <row r="524" spans="15:16">
      <c r="O524" s="9"/>
      <c r="P524" s="9"/>
    </row>
    <row r="525" spans="15:16">
      <c r="O525" s="9"/>
      <c r="P525" s="9"/>
    </row>
    <row r="526" spans="15:16">
      <c r="O526" s="9"/>
      <c r="P526" s="9"/>
    </row>
    <row r="527" spans="15:16">
      <c r="O527" s="9"/>
      <c r="P527" s="9"/>
    </row>
    <row r="528" spans="15:16">
      <c r="O528" s="9"/>
      <c r="P528" s="9"/>
    </row>
    <row r="529" spans="15:16">
      <c r="O529" s="9"/>
      <c r="P529" s="9"/>
    </row>
    <row r="530" spans="15:16">
      <c r="O530" s="9"/>
      <c r="P530" s="9"/>
    </row>
    <row r="531" spans="15:16">
      <c r="O531" s="9"/>
      <c r="P531" s="9"/>
    </row>
    <row r="532" spans="15:16">
      <c r="O532" s="9"/>
      <c r="P532" s="9"/>
    </row>
    <row r="533" spans="15:16">
      <c r="O533" s="9"/>
      <c r="P533" s="9"/>
    </row>
    <row r="534" spans="15:16">
      <c r="O534" s="9"/>
      <c r="P534" s="9"/>
    </row>
    <row r="535" spans="15:16">
      <c r="O535" s="9"/>
      <c r="P535" s="9"/>
    </row>
    <row r="536" spans="15:16">
      <c r="O536" s="9"/>
      <c r="P536" s="9"/>
    </row>
    <row r="537" spans="15:16">
      <c r="O537" s="9"/>
      <c r="P537" s="9"/>
    </row>
    <row r="538" spans="15:16">
      <c r="O538" s="9"/>
      <c r="P538" s="9"/>
    </row>
    <row r="539" spans="15:16">
      <c r="O539" s="9"/>
      <c r="P539" s="9"/>
    </row>
    <row r="540" spans="15:16">
      <c r="O540" s="9"/>
      <c r="P540" s="9"/>
    </row>
    <row r="541" spans="15:16">
      <c r="O541" s="9"/>
      <c r="P541" s="9"/>
    </row>
    <row r="542" spans="15:16">
      <c r="O542" s="9"/>
      <c r="P542" s="9"/>
    </row>
    <row r="543" spans="15:16">
      <c r="O543" s="9"/>
      <c r="P543" s="9"/>
    </row>
    <row r="544" spans="15:16">
      <c r="O544" s="9"/>
      <c r="P544" s="9"/>
    </row>
    <row r="545" spans="15:16">
      <c r="O545" s="9"/>
      <c r="P545" s="9"/>
    </row>
    <row r="546" spans="15:16">
      <c r="O546" s="9"/>
      <c r="P546" s="9"/>
    </row>
    <row r="547" spans="15:16">
      <c r="O547" s="9"/>
      <c r="P547" s="9"/>
    </row>
    <row r="548" spans="15:16">
      <c r="O548" s="9"/>
      <c r="P548" s="9"/>
    </row>
    <row r="549" spans="15:16">
      <c r="O549" s="9"/>
      <c r="P549" s="9"/>
    </row>
    <row r="550" spans="15:16">
      <c r="O550" s="9"/>
      <c r="P550" s="9"/>
    </row>
    <row r="551" spans="15:16">
      <c r="O551" s="9"/>
      <c r="P551" s="9"/>
    </row>
    <row r="552" spans="15:16">
      <c r="O552" s="9"/>
      <c r="P552" s="9"/>
    </row>
    <row r="553" spans="15:16">
      <c r="O553" s="9"/>
      <c r="P553" s="9"/>
    </row>
    <row r="554" spans="15:16">
      <c r="O554" s="9"/>
      <c r="P554" s="9"/>
    </row>
    <row r="555" spans="15:16">
      <c r="O555" s="9"/>
      <c r="P555" s="9"/>
    </row>
    <row r="556" spans="15:16">
      <c r="O556" s="9"/>
      <c r="P556" s="9"/>
    </row>
    <row r="557" spans="15:16">
      <c r="O557" s="9"/>
      <c r="P557" s="9"/>
    </row>
    <row r="558" spans="15:16">
      <c r="O558" s="9"/>
      <c r="P558" s="9"/>
    </row>
    <row r="559" spans="15:16">
      <c r="O559" s="9"/>
      <c r="P559" s="9"/>
    </row>
    <row r="560" spans="15:16">
      <c r="O560" s="9"/>
      <c r="P560" s="9"/>
    </row>
    <row r="561" spans="15:16">
      <c r="O561" s="9"/>
      <c r="P561" s="9"/>
    </row>
    <row r="562" spans="15:16">
      <c r="O562" s="9"/>
      <c r="P562" s="9"/>
    </row>
    <row r="563" spans="15:16">
      <c r="O563" s="9"/>
      <c r="P563" s="9"/>
    </row>
    <row r="564" spans="15:16">
      <c r="O564" s="9"/>
      <c r="P564" s="9"/>
    </row>
    <row r="565" spans="15:16">
      <c r="O565" s="9"/>
      <c r="P565" s="9"/>
    </row>
    <row r="566" spans="15:16">
      <c r="O566" s="9"/>
      <c r="P566" s="9"/>
    </row>
    <row r="567" spans="15:16">
      <c r="O567" s="9"/>
      <c r="P567" s="9"/>
    </row>
    <row r="568" spans="15:16">
      <c r="O568" s="9"/>
      <c r="P568" s="9"/>
    </row>
    <row r="569" spans="15:16">
      <c r="O569" s="9"/>
      <c r="P569" s="9"/>
    </row>
    <row r="570" spans="15:16">
      <c r="O570" s="9"/>
      <c r="P570" s="9"/>
    </row>
    <row r="571" spans="15:16">
      <c r="O571" s="9"/>
      <c r="P571" s="9"/>
    </row>
    <row r="572" spans="15:16">
      <c r="O572" s="9"/>
      <c r="P572" s="9"/>
    </row>
    <row r="573" spans="15:16">
      <c r="O573" s="9"/>
      <c r="P573" s="9"/>
    </row>
    <row r="574" spans="15:16">
      <c r="O574" s="9"/>
      <c r="P574" s="9"/>
    </row>
    <row r="575" spans="15:16">
      <c r="O575" s="9"/>
      <c r="P575" s="9"/>
    </row>
    <row r="576" spans="15:16">
      <c r="O576" s="9"/>
      <c r="P576" s="9"/>
    </row>
    <row r="577" spans="15:16">
      <c r="O577" s="9"/>
      <c r="P577" s="9"/>
    </row>
    <row r="578" spans="15:16">
      <c r="O578" s="9"/>
      <c r="P578" s="9"/>
    </row>
    <row r="579" spans="15:16">
      <c r="O579" s="9"/>
      <c r="P579" s="9"/>
    </row>
    <row r="580" spans="15:16">
      <c r="O580" s="9"/>
      <c r="P580" s="9"/>
    </row>
    <row r="581" spans="15:16">
      <c r="O581" s="9"/>
      <c r="P581" s="9"/>
    </row>
    <row r="582" spans="15:16">
      <c r="O582" s="9"/>
      <c r="P582" s="9"/>
    </row>
    <row r="583" spans="15:16">
      <c r="O583" s="9"/>
      <c r="P583" s="9"/>
    </row>
    <row r="584" spans="15:16">
      <c r="O584" s="9"/>
      <c r="P584" s="9"/>
    </row>
    <row r="585" spans="15:16">
      <c r="O585" s="9"/>
      <c r="P585" s="9"/>
    </row>
    <row r="586" spans="15:16">
      <c r="O586" s="9"/>
      <c r="P586" s="9"/>
    </row>
    <row r="587" spans="15:16">
      <c r="O587" s="9"/>
      <c r="P587" s="9"/>
    </row>
    <row r="588" spans="15:16">
      <c r="O588" s="9"/>
      <c r="P588" s="9"/>
    </row>
    <row r="589" spans="15:16">
      <c r="O589" s="9"/>
      <c r="P589" s="9"/>
    </row>
    <row r="590" spans="15:16">
      <c r="O590" s="9"/>
      <c r="P590" s="9"/>
    </row>
    <row r="591" spans="15:16">
      <c r="O591" s="9"/>
      <c r="P591" s="9"/>
    </row>
    <row r="592" spans="15:16">
      <c r="O592" s="9"/>
      <c r="P592" s="9"/>
    </row>
    <row r="593" spans="15:16">
      <c r="O593" s="9"/>
      <c r="P593" s="9"/>
    </row>
    <row r="594" spans="15:16">
      <c r="O594" s="9"/>
      <c r="P594" s="9"/>
    </row>
    <row r="595" spans="15:16">
      <c r="O595" s="9"/>
      <c r="P595" s="9"/>
    </row>
    <row r="596" spans="15:16">
      <c r="O596" s="9"/>
      <c r="P596" s="9"/>
    </row>
    <row r="597" spans="15:16">
      <c r="O597" s="9"/>
      <c r="P597" s="9"/>
    </row>
    <row r="598" spans="15:16">
      <c r="O598" s="9"/>
      <c r="P598" s="9"/>
    </row>
    <row r="599" spans="15:16">
      <c r="O599" s="9"/>
      <c r="P599" s="9"/>
    </row>
    <row r="600" spans="15:16">
      <c r="O600" s="9"/>
      <c r="P600" s="9"/>
    </row>
    <row r="601" spans="15:16">
      <c r="O601" s="9"/>
      <c r="P601" s="9"/>
    </row>
    <row r="602" spans="15:16">
      <c r="O602" s="9"/>
      <c r="P602" s="9"/>
    </row>
    <row r="603" spans="15:16">
      <c r="O603" s="9"/>
      <c r="P603" s="9"/>
    </row>
    <row r="604" spans="15:16">
      <c r="O604" s="9"/>
      <c r="P604" s="9"/>
    </row>
    <row r="605" spans="15:16">
      <c r="O605" s="9"/>
      <c r="P605" s="9"/>
    </row>
    <row r="606" spans="15:16">
      <c r="O606" s="9"/>
      <c r="P606" s="9"/>
    </row>
    <row r="607" spans="15:16">
      <c r="O607" s="9"/>
      <c r="P607" s="9"/>
    </row>
    <row r="608" spans="15:16">
      <c r="O608" s="9"/>
      <c r="P608" s="9"/>
    </row>
    <row r="609" spans="15:16">
      <c r="O609" s="9"/>
      <c r="P609" s="9"/>
    </row>
    <row r="610" spans="15:16">
      <c r="O610" s="9"/>
      <c r="P610" s="9"/>
    </row>
    <row r="611" spans="15:16">
      <c r="O611" s="9"/>
      <c r="P611" s="9"/>
    </row>
    <row r="612" spans="15:16">
      <c r="O612" s="9"/>
      <c r="P612" s="9"/>
    </row>
    <row r="613" spans="15:16">
      <c r="O613" s="9"/>
      <c r="P613" s="9"/>
    </row>
    <row r="614" spans="15:16">
      <c r="O614" s="9"/>
      <c r="P614" s="9"/>
    </row>
    <row r="615" spans="15:16">
      <c r="O615" s="9"/>
      <c r="P615" s="9"/>
    </row>
    <row r="616" spans="15:16">
      <c r="O616" s="9"/>
      <c r="P616" s="9"/>
    </row>
    <row r="617" spans="15:16">
      <c r="O617" s="9"/>
      <c r="P617" s="9"/>
    </row>
    <row r="618" spans="15:16">
      <c r="O618" s="9"/>
      <c r="P618" s="9"/>
    </row>
    <row r="619" spans="15:16">
      <c r="O619" s="9"/>
      <c r="P619" s="9"/>
    </row>
    <row r="620" spans="15:16">
      <c r="O620" s="9"/>
      <c r="P620" s="9"/>
    </row>
    <row r="621" spans="15:16">
      <c r="O621" s="9"/>
      <c r="P621" s="9"/>
    </row>
    <row r="622" spans="15:16">
      <c r="O622" s="9"/>
      <c r="P622" s="9"/>
    </row>
    <row r="623" spans="15:16">
      <c r="O623" s="9"/>
      <c r="P623" s="9"/>
    </row>
    <row r="624" spans="15:16">
      <c r="O624" s="9"/>
      <c r="P624" s="9"/>
    </row>
    <row r="625" spans="15:16">
      <c r="O625" s="9"/>
      <c r="P625" s="9"/>
    </row>
    <row r="626" spans="15:16">
      <c r="O626" s="9"/>
      <c r="P626" s="9"/>
    </row>
    <row r="627" spans="15:16">
      <c r="O627" s="9"/>
      <c r="P627" s="9"/>
    </row>
    <row r="628" spans="15:16">
      <c r="O628" s="9"/>
      <c r="P628" s="9"/>
    </row>
    <row r="629" spans="15:16">
      <c r="O629" s="9"/>
      <c r="P629" s="9"/>
    </row>
    <row r="630" spans="15:16">
      <c r="O630" s="9"/>
      <c r="P630" s="9"/>
    </row>
    <row r="631" spans="15:16">
      <c r="O631" s="9"/>
      <c r="P631" s="9"/>
    </row>
    <row r="632" spans="15:16">
      <c r="O632" s="9"/>
      <c r="P632" s="9"/>
    </row>
    <row r="633" spans="15:16">
      <c r="O633" s="9"/>
      <c r="P633" s="9"/>
    </row>
    <row r="634" spans="15:16">
      <c r="O634" s="9"/>
      <c r="P634" s="9"/>
    </row>
    <row r="635" spans="15:16">
      <c r="O635" s="9"/>
      <c r="P635" s="9"/>
    </row>
    <row r="636" spans="15:16">
      <c r="O636" s="9"/>
      <c r="P636" s="9"/>
    </row>
    <row r="637" spans="15:16">
      <c r="O637" s="9"/>
      <c r="P637" s="9"/>
    </row>
    <row r="638" spans="15:16">
      <c r="O638" s="9"/>
      <c r="P638" s="9"/>
    </row>
    <row r="639" spans="15:16">
      <c r="O639" s="9"/>
      <c r="P639" s="9"/>
    </row>
    <row r="640" spans="15:16">
      <c r="O640" s="9"/>
      <c r="P640" s="9"/>
    </row>
    <row r="641" spans="15:16">
      <c r="O641" s="9"/>
      <c r="P641" s="9"/>
    </row>
    <row r="642" spans="15:16">
      <c r="O642" s="9"/>
      <c r="P642" s="9"/>
    </row>
  </sheetData>
  <mergeCells count="5">
    <mergeCell ref="A1:P1"/>
    <mergeCell ref="A2:P2"/>
    <mergeCell ref="A3:P3"/>
    <mergeCell ref="A4:P4"/>
    <mergeCell ref="R139:R140"/>
  </mergeCells>
  <phoneticPr fontId="16" type="noConversion"/>
  <pageMargins left="1" right="1" top="0.25" bottom="0.25" header="0.3" footer="0.3"/>
  <pageSetup paperSize="9" scale="90" orientation="portrait" r:id="rId1"/>
  <headerFooter alignWithMargins="0"/>
  <rowBreaks count="2" manualBreakCount="2">
    <brk id="76" max="15" man="1"/>
    <brk id="146" max="15" man="1"/>
  </rowBreaks>
  <ignoredErrors>
    <ignoredError sqref="F108:I108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3"/>
  <sheetViews>
    <sheetView view="pageBreakPreview" workbookViewId="0">
      <pane ySplit="5" topLeftCell="A6" activePane="bottomLeft" state="frozenSplit"/>
      <selection pane="bottomLeft" activeCell="Q29" sqref="Q29"/>
    </sheetView>
  </sheetViews>
  <sheetFormatPr defaultRowHeight="12.75"/>
  <cols>
    <col min="1" max="1" width="23.42578125" style="292" customWidth="1"/>
    <col min="2" max="2" width="8.7109375" style="292" hidden="1" customWidth="1"/>
    <col min="3" max="7" width="9.42578125" style="292" hidden="1" customWidth="1"/>
    <col min="8" max="13" width="8.28515625" style="292" customWidth="1"/>
    <col min="14" max="14" width="16.5703125" style="292" customWidth="1"/>
    <col min="15" max="16384" width="9.140625" style="292"/>
  </cols>
  <sheetData>
    <row r="1" spans="1:14" ht="12.95" customHeight="1">
      <c r="A1" s="324" t="s">
        <v>136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s="293" customFormat="1" ht="17.100000000000001" customHeight="1">
      <c r="A2" s="325" t="s">
        <v>320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s="294" customFormat="1" ht="12.95" customHeight="1">
      <c r="A3" s="326" t="s">
        <v>321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4" spans="1:14" s="267" customFormat="1" ht="12.95" customHeight="1" thickBot="1">
      <c r="A4" s="295" t="s">
        <v>177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7" t="s">
        <v>72</v>
      </c>
    </row>
    <row r="5" spans="1:14" s="300" customFormat="1" ht="20.100000000000001" customHeight="1" thickBot="1">
      <c r="A5" s="298"/>
      <c r="B5" s="299">
        <v>2000</v>
      </c>
      <c r="C5" s="266">
        <v>2003</v>
      </c>
      <c r="D5" s="266">
        <v>2004</v>
      </c>
      <c r="E5" s="266">
        <v>2005</v>
      </c>
      <c r="F5" s="266">
        <v>2006</v>
      </c>
      <c r="G5" s="266">
        <v>2007</v>
      </c>
      <c r="H5" s="266">
        <v>2008</v>
      </c>
      <c r="I5" s="266">
        <v>2009</v>
      </c>
      <c r="J5" s="266">
        <v>2010</v>
      </c>
      <c r="K5" s="266">
        <v>2011</v>
      </c>
      <c r="L5" s="266">
        <v>2012</v>
      </c>
      <c r="M5" s="266">
        <v>2013</v>
      </c>
      <c r="N5" s="299"/>
    </row>
    <row r="6" spans="1:14" s="267" customFormat="1" ht="19.5" customHeight="1">
      <c r="A6" s="281" t="s">
        <v>73</v>
      </c>
      <c r="N6" s="283" t="s">
        <v>74</v>
      </c>
    </row>
    <row r="7" spans="1:14" s="267" customFormat="1" ht="16.5" customHeight="1">
      <c r="A7" s="284" t="s">
        <v>75</v>
      </c>
      <c r="B7" s="269">
        <v>1396539</v>
      </c>
      <c r="C7" s="142">
        <v>561056</v>
      </c>
      <c r="D7" s="142">
        <v>717695</v>
      </c>
      <c r="E7" s="142">
        <v>985796</v>
      </c>
      <c r="F7" s="142">
        <v>1463351</v>
      </c>
      <c r="G7" s="142">
        <v>2002694.6</v>
      </c>
      <c r="H7" s="142">
        <v>1818834</v>
      </c>
      <c r="I7" s="142">
        <v>1221840</v>
      </c>
      <c r="J7" s="142">
        <v>1422255</v>
      </c>
      <c r="K7" s="142">
        <v>1700082</v>
      </c>
      <c r="L7" s="142">
        <v>1330273</v>
      </c>
      <c r="M7" s="142" t="s">
        <v>244</v>
      </c>
      <c r="N7" s="281" t="s">
        <v>76</v>
      </c>
    </row>
    <row r="8" spans="1:14" s="267" customFormat="1" ht="28.5" customHeight="1">
      <c r="A8" s="284" t="s">
        <v>77</v>
      </c>
      <c r="B8" s="269">
        <v>1134293</v>
      </c>
      <c r="C8" s="142">
        <v>361050</v>
      </c>
      <c r="D8" s="142">
        <v>403711</v>
      </c>
      <c r="E8" s="142">
        <v>624529</v>
      </c>
      <c r="F8" s="142">
        <v>981869</v>
      </c>
      <c r="G8" s="142">
        <v>1319893</v>
      </c>
      <c r="H8" s="142">
        <v>1032385</v>
      </c>
      <c r="I8" s="142">
        <v>618596</v>
      </c>
      <c r="J8" s="142">
        <v>703474</v>
      </c>
      <c r="K8" s="142">
        <v>880406</v>
      </c>
      <c r="L8" s="142">
        <v>516664</v>
      </c>
      <c r="M8" s="142" t="s">
        <v>245</v>
      </c>
      <c r="N8" s="281" t="s">
        <v>78</v>
      </c>
    </row>
    <row r="9" spans="1:14" s="267" customFormat="1" ht="27.75" customHeight="1">
      <c r="A9" s="287" t="s">
        <v>277</v>
      </c>
      <c r="B9" s="269">
        <v>262246</v>
      </c>
      <c r="C9" s="142">
        <v>180114</v>
      </c>
      <c r="D9" s="142">
        <v>283618</v>
      </c>
      <c r="E9" s="142">
        <f t="shared" ref="E9:F9" si="0">E7-E8</f>
        <v>361267</v>
      </c>
      <c r="F9" s="142">
        <f t="shared" si="0"/>
        <v>481482</v>
      </c>
      <c r="G9" s="142">
        <v>589430.5</v>
      </c>
      <c r="H9" s="142">
        <f>668758+117692</f>
        <v>786450</v>
      </c>
      <c r="I9" s="142">
        <f>532580+70664</f>
        <v>603244</v>
      </c>
      <c r="J9" s="142">
        <f>648208+70573</f>
        <v>718781</v>
      </c>
      <c r="K9" s="142">
        <f>724840+94836</f>
        <v>819676</v>
      </c>
      <c r="L9" s="142">
        <f>729449+84159</f>
        <v>813608</v>
      </c>
      <c r="M9" s="142">
        <f>778372+107967</f>
        <v>886339</v>
      </c>
      <c r="N9" s="301" t="s">
        <v>278</v>
      </c>
    </row>
    <row r="10" spans="1:14" s="267" customFormat="1" ht="16.5" customHeight="1">
      <c r="A10" s="268" t="s">
        <v>81</v>
      </c>
      <c r="B10" s="269">
        <v>364</v>
      </c>
      <c r="C10" s="140">
        <v>516.70000000000005</v>
      </c>
      <c r="D10" s="140">
        <v>865.3</v>
      </c>
      <c r="E10" s="140">
        <v>1048.6674237568518</v>
      </c>
      <c r="F10" s="140">
        <v>2914.8858646652538</v>
      </c>
      <c r="G10" s="140">
        <v>1756.1123507650245</v>
      </c>
      <c r="H10" s="140">
        <v>1793.8782077707242</v>
      </c>
      <c r="I10" s="140">
        <v>257.18085106382978</v>
      </c>
      <c r="J10" s="140">
        <v>156</v>
      </c>
      <c r="K10" s="140">
        <v>781</v>
      </c>
      <c r="L10" s="140">
        <v>891.2</v>
      </c>
      <c r="M10" s="140">
        <v>989</v>
      </c>
      <c r="N10" s="270" t="s">
        <v>82</v>
      </c>
    </row>
    <row r="11" spans="1:14" s="267" customFormat="1" ht="16.5" customHeight="1">
      <c r="A11" s="268" t="s">
        <v>83</v>
      </c>
      <c r="B11" s="269">
        <v>1235.4000000000001</v>
      </c>
      <c r="C11" s="140">
        <v>237.4</v>
      </c>
      <c r="D11" s="140">
        <v>2157.4</v>
      </c>
      <c r="E11" s="140">
        <v>5375.6</v>
      </c>
      <c r="F11" s="140">
        <v>10042.799999999999</v>
      </c>
      <c r="G11" s="140">
        <v>11578.1</v>
      </c>
      <c r="H11" s="140">
        <v>9494.6</v>
      </c>
      <c r="I11" s="140">
        <v>6711.6</v>
      </c>
      <c r="J11" s="140">
        <v>6386</v>
      </c>
      <c r="K11" s="140">
        <v>-483</v>
      </c>
      <c r="L11" s="140" t="s">
        <v>236</v>
      </c>
      <c r="M11" s="140" t="s">
        <v>237</v>
      </c>
      <c r="N11" s="270" t="s">
        <v>84</v>
      </c>
    </row>
    <row r="12" spans="1:14" s="267" customFormat="1" ht="16.5" customHeight="1">
      <c r="A12" s="268" t="s">
        <v>85</v>
      </c>
      <c r="B12" s="269">
        <v>-3.14</v>
      </c>
      <c r="C12" s="271">
        <v>0</v>
      </c>
      <c r="D12" s="143">
        <v>300</v>
      </c>
      <c r="E12" s="140">
        <v>515.29999999999995</v>
      </c>
      <c r="F12" s="140">
        <v>383</v>
      </c>
      <c r="G12" s="140">
        <v>972</v>
      </c>
      <c r="H12" s="140">
        <v>1855.7</v>
      </c>
      <c r="I12" s="140">
        <v>1598</v>
      </c>
      <c r="J12" s="140">
        <v>1396</v>
      </c>
      <c r="K12" s="140">
        <v>2082.3000000000002</v>
      </c>
      <c r="L12" s="140" t="s">
        <v>226</v>
      </c>
      <c r="M12" s="140" t="s">
        <v>227</v>
      </c>
      <c r="N12" s="270" t="s">
        <v>86</v>
      </c>
    </row>
    <row r="13" spans="1:14" s="267" customFormat="1" ht="16.5" customHeight="1">
      <c r="A13" s="268" t="s">
        <v>87</v>
      </c>
      <c r="B13" s="269">
        <v>786.6</v>
      </c>
      <c r="C13" s="140">
        <v>443.2</v>
      </c>
      <c r="D13" s="140">
        <v>816.4</v>
      </c>
      <c r="E13" s="140">
        <v>1984.4879894047804</v>
      </c>
      <c r="F13" s="140">
        <v>3544.0106403535119</v>
      </c>
      <c r="G13" s="140">
        <v>2622.1475629725851</v>
      </c>
      <c r="H13" s="140">
        <v>2826</v>
      </c>
      <c r="I13" s="140">
        <v>2413</v>
      </c>
      <c r="J13" s="140">
        <v>1651</v>
      </c>
      <c r="K13" s="140">
        <v>1473.5</v>
      </c>
      <c r="L13" s="140" t="s">
        <v>228</v>
      </c>
      <c r="M13" s="140" t="s">
        <v>229</v>
      </c>
      <c r="N13" s="270" t="s">
        <v>88</v>
      </c>
    </row>
    <row r="14" spans="1:14" s="267" customFormat="1" ht="16.5" customHeight="1">
      <c r="A14" s="268" t="s">
        <v>89</v>
      </c>
      <c r="B14" s="269">
        <v>16.299812226163155</v>
      </c>
      <c r="C14" s="140">
        <v>-68</v>
      </c>
      <c r="D14" s="140">
        <v>23.8</v>
      </c>
      <c r="E14" s="140">
        <v>234</v>
      </c>
      <c r="F14" s="140">
        <v>122</v>
      </c>
      <c r="G14" s="140">
        <v>112</v>
      </c>
      <c r="H14" s="140">
        <v>-6</v>
      </c>
      <c r="I14" s="140">
        <v>1114</v>
      </c>
      <c r="J14" s="140">
        <v>1304</v>
      </c>
      <c r="K14" s="140">
        <v>3260</v>
      </c>
      <c r="L14" s="140">
        <v>3931</v>
      </c>
      <c r="M14" s="140" t="s">
        <v>230</v>
      </c>
      <c r="N14" s="270" t="s">
        <v>90</v>
      </c>
    </row>
    <row r="15" spans="1:14" s="267" customFormat="1" ht="16.5" customHeight="1">
      <c r="A15" s="268" t="s">
        <v>6</v>
      </c>
      <c r="B15" s="269">
        <v>297.8</v>
      </c>
      <c r="C15" s="140">
        <v>2977</v>
      </c>
      <c r="D15" s="140">
        <v>1993</v>
      </c>
      <c r="E15" s="140">
        <v>3321.4914945319038</v>
      </c>
      <c r="F15" s="140">
        <v>3131.6737550845774</v>
      </c>
      <c r="G15" s="140">
        <v>3375.980757859702</v>
      </c>
      <c r="H15" s="140">
        <v>4333.0454703838313</v>
      </c>
      <c r="I15" s="140">
        <v>4803.6026604561357</v>
      </c>
      <c r="J15" s="140">
        <v>4280</v>
      </c>
      <c r="K15" s="140">
        <v>3484.8</v>
      </c>
      <c r="L15" s="140" t="s">
        <v>232</v>
      </c>
      <c r="M15" s="140" t="s">
        <v>231</v>
      </c>
      <c r="N15" s="270" t="s">
        <v>91</v>
      </c>
    </row>
    <row r="16" spans="1:14" s="267" customFormat="1" ht="16.5" customHeight="1">
      <c r="A16" s="268" t="s">
        <v>206</v>
      </c>
      <c r="B16" s="269"/>
      <c r="C16" s="140"/>
      <c r="D16" s="140"/>
      <c r="E16" s="140"/>
      <c r="F16" s="140"/>
      <c r="G16" s="140">
        <v>3850</v>
      </c>
      <c r="H16" s="140">
        <v>3180</v>
      </c>
      <c r="I16" s="140">
        <v>3310</v>
      </c>
      <c r="J16" s="140">
        <v>1909</v>
      </c>
      <c r="K16" s="140" t="s">
        <v>61</v>
      </c>
      <c r="L16" s="140" t="s">
        <v>238</v>
      </c>
      <c r="M16" s="140">
        <v>702</v>
      </c>
      <c r="N16" s="272" t="s">
        <v>224</v>
      </c>
    </row>
    <row r="17" spans="1:14" s="267" customFormat="1" ht="16.5" customHeight="1">
      <c r="A17" s="268" t="s">
        <v>209</v>
      </c>
      <c r="B17" s="269"/>
      <c r="C17" s="140"/>
      <c r="D17" s="140"/>
      <c r="E17" s="140"/>
      <c r="F17" s="140"/>
      <c r="G17" s="140">
        <v>2804.5</v>
      </c>
      <c r="H17" s="140">
        <v>2487.1</v>
      </c>
      <c r="I17" s="140">
        <v>1951.7</v>
      </c>
      <c r="J17" s="140">
        <v>1573.9</v>
      </c>
      <c r="K17" s="140">
        <v>2568.4</v>
      </c>
      <c r="L17" s="140" t="s">
        <v>239</v>
      </c>
      <c r="M17" s="140" t="s">
        <v>240</v>
      </c>
      <c r="N17" s="273" t="s">
        <v>225</v>
      </c>
    </row>
    <row r="18" spans="1:14" s="267" customFormat="1" ht="16.5" customHeight="1">
      <c r="A18" s="268" t="s">
        <v>92</v>
      </c>
      <c r="B18" s="269">
        <v>16</v>
      </c>
      <c r="C18" s="140">
        <v>494.1</v>
      </c>
      <c r="D18" s="140">
        <v>228.9</v>
      </c>
      <c r="E18" s="140">
        <v>1538.3615084525356</v>
      </c>
      <c r="F18" s="140">
        <v>1596.8790637191157</v>
      </c>
      <c r="G18" s="140">
        <v>3331.5994798439533</v>
      </c>
      <c r="H18" s="140">
        <v>2952</v>
      </c>
      <c r="I18" s="140">
        <v>1485</v>
      </c>
      <c r="J18" s="140">
        <v>1782</v>
      </c>
      <c r="K18" s="140">
        <v>1563</v>
      </c>
      <c r="L18" s="140">
        <v>1040</v>
      </c>
      <c r="M18" s="140" t="s">
        <v>233</v>
      </c>
      <c r="N18" s="270" t="s">
        <v>93</v>
      </c>
    </row>
    <row r="19" spans="1:14" s="267" customFormat="1" ht="16.5" customHeight="1">
      <c r="A19" s="268" t="s">
        <v>94</v>
      </c>
      <c r="B19" s="269">
        <v>62.02</v>
      </c>
      <c r="C19" s="140">
        <v>18</v>
      </c>
      <c r="D19" s="140">
        <v>49</v>
      </c>
      <c r="E19" s="140">
        <v>46.5</v>
      </c>
      <c r="F19" s="140">
        <v>18.600000000000001</v>
      </c>
      <c r="G19" s="140">
        <v>28.3</v>
      </c>
      <c r="H19" s="140">
        <v>51.5</v>
      </c>
      <c r="I19" s="140">
        <v>301</v>
      </c>
      <c r="J19" s="140">
        <v>180</v>
      </c>
      <c r="K19" s="140">
        <v>214</v>
      </c>
      <c r="L19" s="140">
        <v>244.4</v>
      </c>
      <c r="M19" s="140">
        <v>177</v>
      </c>
      <c r="N19" s="270" t="s">
        <v>95</v>
      </c>
    </row>
    <row r="20" spans="1:14" s="267" customFormat="1" ht="16.5" customHeight="1">
      <c r="A20" s="268" t="s">
        <v>96</v>
      </c>
      <c r="B20" s="269">
        <v>251.6</v>
      </c>
      <c r="C20" s="140">
        <v>624.9</v>
      </c>
      <c r="D20" s="140">
        <v>1199</v>
      </c>
      <c r="E20" s="140">
        <v>2500</v>
      </c>
      <c r="F20" s="140">
        <v>3500</v>
      </c>
      <c r="G20" s="140">
        <v>4700</v>
      </c>
      <c r="H20" s="140">
        <v>3779</v>
      </c>
      <c r="I20" s="140">
        <v>8125</v>
      </c>
      <c r="J20" s="140">
        <v>4670</v>
      </c>
      <c r="K20" s="140">
        <v>-87</v>
      </c>
      <c r="L20" s="140">
        <v>326.89999999999998</v>
      </c>
      <c r="M20" s="140">
        <v>-840</v>
      </c>
      <c r="N20" s="270" t="s">
        <v>97</v>
      </c>
    </row>
    <row r="21" spans="1:14" s="267" customFormat="1" ht="16.5" customHeight="1">
      <c r="A21" s="274" t="s">
        <v>117</v>
      </c>
      <c r="B21" s="269">
        <v>-1883.58</v>
      </c>
      <c r="C21" s="140">
        <v>778.5</v>
      </c>
      <c r="D21" s="140">
        <v>1942</v>
      </c>
      <c r="E21" s="140">
        <v>12097</v>
      </c>
      <c r="F21" s="140">
        <v>17140</v>
      </c>
      <c r="G21" s="140">
        <v>24318.7</v>
      </c>
      <c r="H21" s="140">
        <v>39455.9</v>
      </c>
      <c r="I21" s="140">
        <v>36457.800000000003</v>
      </c>
      <c r="J21" s="140">
        <v>29232.7</v>
      </c>
      <c r="K21" s="140">
        <v>16308</v>
      </c>
      <c r="L21" s="140">
        <v>12182</v>
      </c>
      <c r="M21" s="140" t="s">
        <v>234</v>
      </c>
      <c r="N21" s="270" t="s">
        <v>98</v>
      </c>
    </row>
    <row r="22" spans="1:14" s="267" customFormat="1" ht="16.5" customHeight="1">
      <c r="A22" s="274" t="s">
        <v>140</v>
      </c>
      <c r="B22" s="269"/>
      <c r="C22" s="140"/>
      <c r="D22" s="140"/>
      <c r="E22" s="140">
        <v>2304.64</v>
      </c>
      <c r="F22" s="140">
        <v>3534</v>
      </c>
      <c r="G22" s="140">
        <v>2426</v>
      </c>
      <c r="H22" s="140">
        <v>2600</v>
      </c>
      <c r="I22" s="140">
        <v>2572</v>
      </c>
      <c r="J22" s="140">
        <v>2894</v>
      </c>
      <c r="K22" s="140">
        <v>2691.7</v>
      </c>
      <c r="L22" s="140">
        <v>2488</v>
      </c>
      <c r="M22" s="140" t="s">
        <v>241</v>
      </c>
      <c r="N22" s="270" t="s">
        <v>114</v>
      </c>
    </row>
    <row r="23" spans="1:14" s="267" customFormat="1" ht="16.5" customHeight="1">
      <c r="A23" s="268" t="s">
        <v>99</v>
      </c>
      <c r="B23" s="269">
        <v>270</v>
      </c>
      <c r="C23" s="143">
        <v>180</v>
      </c>
      <c r="D23" s="143">
        <v>275</v>
      </c>
      <c r="E23" s="143">
        <v>583</v>
      </c>
      <c r="F23" s="143">
        <v>659</v>
      </c>
      <c r="G23" s="143">
        <v>1242</v>
      </c>
      <c r="H23" s="143">
        <v>1467</v>
      </c>
      <c r="I23" s="143">
        <v>2569.6</v>
      </c>
      <c r="J23" s="143">
        <v>1469.2</v>
      </c>
      <c r="K23" s="143">
        <v>1059</v>
      </c>
      <c r="L23" s="143" t="s">
        <v>61</v>
      </c>
      <c r="M23" s="143" t="s">
        <v>61</v>
      </c>
      <c r="N23" s="270" t="s">
        <v>100</v>
      </c>
    </row>
    <row r="24" spans="1:14" s="267" customFormat="1" ht="16.5" customHeight="1">
      <c r="A24" s="268" t="s">
        <v>212</v>
      </c>
      <c r="B24" s="269"/>
      <c r="C24" s="143"/>
      <c r="D24" s="143"/>
      <c r="E24" s="143"/>
      <c r="F24" s="143"/>
      <c r="G24" s="143">
        <v>1616.3</v>
      </c>
      <c r="H24" s="143">
        <v>2758.6</v>
      </c>
      <c r="I24" s="143">
        <v>1687.8</v>
      </c>
      <c r="J24" s="143">
        <v>1512.5</v>
      </c>
      <c r="K24" s="143">
        <v>1147.8</v>
      </c>
      <c r="L24" s="143" t="s">
        <v>242</v>
      </c>
      <c r="M24" s="143" t="s">
        <v>243</v>
      </c>
      <c r="N24" s="270" t="s">
        <v>213</v>
      </c>
    </row>
    <row r="25" spans="1:14" s="267" customFormat="1" ht="16.5" customHeight="1">
      <c r="A25" s="268" t="s">
        <v>101</v>
      </c>
      <c r="B25" s="269">
        <v>-514.55999999999995</v>
      </c>
      <c r="C25" s="140">
        <v>4256</v>
      </c>
      <c r="D25" s="140">
        <v>10003.5</v>
      </c>
      <c r="E25" s="140">
        <v>10899.9319264806</v>
      </c>
      <c r="F25" s="140">
        <v>12805.990469707283</v>
      </c>
      <c r="G25" s="140">
        <v>14186.521443158612</v>
      </c>
      <c r="H25" s="140">
        <v>13724</v>
      </c>
      <c r="I25" s="140">
        <v>4002.7</v>
      </c>
      <c r="J25" s="140">
        <v>5500</v>
      </c>
      <c r="K25" s="140">
        <v>7679</v>
      </c>
      <c r="L25" s="140">
        <v>9602</v>
      </c>
      <c r="M25" s="140" t="s">
        <v>235</v>
      </c>
      <c r="N25" s="270" t="s">
        <v>102</v>
      </c>
    </row>
    <row r="26" spans="1:14" s="267" customFormat="1" ht="16.5" customHeight="1" thickBot="1">
      <c r="A26" s="275" t="s">
        <v>103</v>
      </c>
      <c r="B26" s="276">
        <v>6</v>
      </c>
      <c r="C26" s="144">
        <v>5.5</v>
      </c>
      <c r="D26" s="144">
        <v>143.6</v>
      </c>
      <c r="E26" s="144">
        <v>-302.10000000000002</v>
      </c>
      <c r="F26" s="144">
        <v>1121</v>
      </c>
      <c r="G26" s="144">
        <v>917.3</v>
      </c>
      <c r="H26" s="144">
        <v>1554.6</v>
      </c>
      <c r="I26" s="144">
        <v>129.19999999999999</v>
      </c>
      <c r="J26" s="144">
        <v>188.6</v>
      </c>
      <c r="K26" s="144">
        <v>-518.4</v>
      </c>
      <c r="L26" s="144">
        <v>-531</v>
      </c>
      <c r="M26" s="144">
        <v>-134</v>
      </c>
      <c r="N26" s="277" t="s">
        <v>104</v>
      </c>
    </row>
    <row r="27" spans="1:14" s="300" customFormat="1" ht="18.75" customHeight="1" thickBot="1">
      <c r="A27" s="278" t="s">
        <v>178</v>
      </c>
      <c r="B27" s="279">
        <v>904.43981222616367</v>
      </c>
      <c r="C27" s="141">
        <f t="shared" ref="C27:I27" si="1">SUM(C10:C26)</f>
        <v>10463.299999999999</v>
      </c>
      <c r="D27" s="141">
        <f t="shared" si="1"/>
        <v>19996.899999999998</v>
      </c>
      <c r="E27" s="141">
        <f t="shared" si="1"/>
        <v>42146.880342626675</v>
      </c>
      <c r="F27" s="141">
        <f t="shared" si="1"/>
        <v>60513.839793529747</v>
      </c>
      <c r="G27" s="141">
        <f t="shared" si="1"/>
        <v>79837.561594599872</v>
      </c>
      <c r="H27" s="141">
        <f t="shared" si="1"/>
        <v>94306.923678154562</v>
      </c>
      <c r="I27" s="141">
        <f t="shared" si="1"/>
        <v>79489.183511519965</v>
      </c>
      <c r="J27" s="141">
        <f>SUM(J10:J26)</f>
        <v>66084.900000000009</v>
      </c>
      <c r="K27" s="141">
        <f>SUM(K10:K26)</f>
        <v>43224.1</v>
      </c>
      <c r="L27" s="141">
        <f>SUM(L10:L26)</f>
        <v>30174.5</v>
      </c>
      <c r="M27" s="141">
        <v>45219</v>
      </c>
      <c r="N27" s="280" t="s">
        <v>105</v>
      </c>
    </row>
    <row r="28" spans="1:14" s="302" customFormat="1" ht="23.1" customHeight="1">
      <c r="A28" s="281" t="s">
        <v>106</v>
      </c>
      <c r="B28" s="282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283" t="s">
        <v>107</v>
      </c>
    </row>
    <row r="29" spans="1:14" s="267" customFormat="1" ht="16.5" customHeight="1">
      <c r="A29" s="284" t="s">
        <v>75</v>
      </c>
      <c r="B29" s="285">
        <v>5786029</v>
      </c>
      <c r="C29" s="142">
        <v>8170827</v>
      </c>
      <c r="D29" s="142">
        <v>9587059</v>
      </c>
      <c r="E29" s="142">
        <v>11524868.653680852</v>
      </c>
      <c r="F29" s="142">
        <v>14275734.103724394</v>
      </c>
      <c r="G29" s="142">
        <v>18038044</v>
      </c>
      <c r="H29" s="142">
        <v>15586249</v>
      </c>
      <c r="I29" s="142">
        <v>18311537</v>
      </c>
      <c r="J29" s="142">
        <v>20380267</v>
      </c>
      <c r="K29" s="142">
        <v>20873498</v>
      </c>
      <c r="L29" s="142">
        <v>22812680</v>
      </c>
      <c r="M29" s="142" t="s">
        <v>246</v>
      </c>
      <c r="N29" s="286" t="s">
        <v>76</v>
      </c>
    </row>
    <row r="30" spans="1:14" s="267" customFormat="1" ht="16.5" customHeight="1">
      <c r="A30" s="284" t="s">
        <v>77</v>
      </c>
      <c r="B30" s="285">
        <v>3976356</v>
      </c>
      <c r="C30" s="142">
        <v>361050</v>
      </c>
      <c r="D30" s="142">
        <v>403711</v>
      </c>
      <c r="E30" s="142">
        <v>8535775.5839101989</v>
      </c>
      <c r="F30" s="142">
        <v>10526119.190968757</v>
      </c>
      <c r="G30" s="142">
        <v>12749212</v>
      </c>
      <c r="H30" s="142">
        <v>10791479</v>
      </c>
      <c r="I30" s="142">
        <v>12387979</v>
      </c>
      <c r="J30" s="142">
        <v>13099469</v>
      </c>
      <c r="K30" s="142">
        <v>13212192</v>
      </c>
      <c r="L30" s="142">
        <v>14220303</v>
      </c>
      <c r="M30" s="142" t="s">
        <v>247</v>
      </c>
      <c r="N30" s="286" t="s">
        <v>78</v>
      </c>
    </row>
    <row r="31" spans="1:14" s="267" customFormat="1" ht="16.5" customHeight="1">
      <c r="A31" s="287" t="s">
        <v>79</v>
      </c>
      <c r="B31" s="285">
        <v>1809673</v>
      </c>
      <c r="C31" s="142">
        <v>2002029</v>
      </c>
      <c r="D31" s="142">
        <v>2331480</v>
      </c>
      <c r="E31" s="142">
        <f t="shared" ref="E31:F31" si="2">E29-E30</f>
        <v>2989093.0697706528</v>
      </c>
      <c r="F31" s="142">
        <f t="shared" si="2"/>
        <v>3749614.9127556365</v>
      </c>
      <c r="G31" s="142">
        <v>4611525</v>
      </c>
      <c r="H31" s="142">
        <v>4367449</v>
      </c>
      <c r="I31" s="142">
        <v>5295644</v>
      </c>
      <c r="J31" s="142">
        <v>6515703</v>
      </c>
      <c r="K31" s="142">
        <v>6896963</v>
      </c>
      <c r="L31" s="142">
        <v>7744523</v>
      </c>
      <c r="M31" s="142" t="s">
        <v>248</v>
      </c>
      <c r="N31" s="288" t="s">
        <v>80</v>
      </c>
    </row>
    <row r="32" spans="1:14" s="267" customFormat="1" ht="16.5" customHeight="1">
      <c r="A32" s="268" t="s">
        <v>81</v>
      </c>
      <c r="B32" s="285">
        <v>5906</v>
      </c>
      <c r="C32" s="140">
        <v>6719.8</v>
      </c>
      <c r="D32" s="140">
        <v>7354</v>
      </c>
      <c r="E32" s="140">
        <v>8276.0418190377168</v>
      </c>
      <c r="F32" s="140">
        <v>11190.661726963492</v>
      </c>
      <c r="G32" s="140">
        <v>12947.040034467995</v>
      </c>
      <c r="H32" s="140">
        <v>14741.184198978195</v>
      </c>
      <c r="I32" s="140">
        <v>14998.138297872341</v>
      </c>
      <c r="J32" s="140">
        <v>15154</v>
      </c>
      <c r="K32" s="140">
        <v>15935</v>
      </c>
      <c r="L32" s="140">
        <v>16826</v>
      </c>
      <c r="M32" s="140" t="s">
        <v>254</v>
      </c>
      <c r="N32" s="270" t="s">
        <v>82</v>
      </c>
    </row>
    <row r="33" spans="1:16" s="267" customFormat="1" ht="16.5" customHeight="1">
      <c r="A33" s="268" t="s">
        <v>83</v>
      </c>
      <c r="B33" s="285">
        <v>18254</v>
      </c>
      <c r="C33" s="140">
        <v>21348.9</v>
      </c>
      <c r="D33" s="140">
        <v>23506.3</v>
      </c>
      <c r="E33" s="140">
        <v>28881.9</v>
      </c>
      <c r="F33" s="140">
        <v>38925</v>
      </c>
      <c r="G33" s="140">
        <v>50503.1</v>
      </c>
      <c r="H33" s="140">
        <v>59997.7</v>
      </c>
      <c r="I33" s="140">
        <v>66709.3</v>
      </c>
      <c r="J33" s="140">
        <v>73095</v>
      </c>
      <c r="K33" s="140">
        <v>72612</v>
      </c>
      <c r="L33" s="140">
        <v>75410</v>
      </c>
      <c r="M33" s="140" t="s">
        <v>249</v>
      </c>
      <c r="N33" s="270" t="s">
        <v>84</v>
      </c>
    </row>
    <row r="34" spans="1:16" s="267" customFormat="1" ht="16.5" customHeight="1">
      <c r="A34" s="268" t="s">
        <v>85</v>
      </c>
      <c r="B34" s="143" t="s">
        <v>61</v>
      </c>
      <c r="C34" s="140">
        <v>-35.9</v>
      </c>
      <c r="D34" s="140">
        <v>264.10000000000002</v>
      </c>
      <c r="E34" s="140">
        <v>779.37073964791955</v>
      </c>
      <c r="F34" s="140">
        <v>1162.3707396479194</v>
      </c>
      <c r="G34" s="140">
        <v>3134</v>
      </c>
      <c r="H34" s="140">
        <v>4990</v>
      </c>
      <c r="I34" s="140">
        <v>6588</v>
      </c>
      <c r="J34" s="140">
        <v>7984</v>
      </c>
      <c r="K34" s="140">
        <v>10067</v>
      </c>
      <c r="L34" s="140">
        <v>12616</v>
      </c>
      <c r="M34" s="140" t="s">
        <v>255</v>
      </c>
      <c r="N34" s="270" t="s">
        <v>86</v>
      </c>
      <c r="P34" s="303"/>
    </row>
    <row r="35" spans="1:16" s="267" customFormat="1" ht="16.5" customHeight="1">
      <c r="A35" s="268" t="s">
        <v>87</v>
      </c>
      <c r="B35" s="285">
        <v>2272</v>
      </c>
      <c r="C35" s="140">
        <v>5004.2</v>
      </c>
      <c r="D35" s="140">
        <v>8315.7000000000007</v>
      </c>
      <c r="E35" s="140">
        <v>13228.791577985301</v>
      </c>
      <c r="F35" s="140">
        <v>12713.134997369531</v>
      </c>
      <c r="G35" s="140">
        <v>19013</v>
      </c>
      <c r="H35" s="140">
        <v>20406</v>
      </c>
      <c r="I35" s="140">
        <v>20761</v>
      </c>
      <c r="J35" s="140">
        <v>21899</v>
      </c>
      <c r="K35" s="140">
        <v>23372</v>
      </c>
      <c r="L35" s="140">
        <v>24775</v>
      </c>
      <c r="M35" s="140" t="s">
        <v>256</v>
      </c>
      <c r="N35" s="270" t="s">
        <v>88</v>
      </c>
    </row>
    <row r="36" spans="1:16" s="267" customFormat="1" ht="16.5" customHeight="1">
      <c r="A36" s="268" t="s">
        <v>89</v>
      </c>
      <c r="B36" s="285">
        <v>608</v>
      </c>
      <c r="C36" s="140">
        <v>384</v>
      </c>
      <c r="D36" s="140">
        <v>408</v>
      </c>
      <c r="E36" s="140">
        <v>645</v>
      </c>
      <c r="F36" s="140">
        <v>773</v>
      </c>
      <c r="G36" s="140">
        <v>943</v>
      </c>
      <c r="H36" s="140">
        <v>8723</v>
      </c>
      <c r="I36" s="140">
        <v>10233</v>
      </c>
      <c r="J36" s="140">
        <v>11873</v>
      </c>
      <c r="K36" s="140">
        <v>12357</v>
      </c>
      <c r="L36" s="140">
        <v>12767</v>
      </c>
      <c r="M36" s="140" t="s">
        <v>257</v>
      </c>
      <c r="N36" s="270" t="s">
        <v>90</v>
      </c>
    </row>
    <row r="37" spans="1:16" s="267" customFormat="1" ht="16.5" customHeight="1">
      <c r="A37" s="268" t="s">
        <v>6</v>
      </c>
      <c r="B37" s="285">
        <v>1116</v>
      </c>
      <c r="C37" s="140">
        <v>10752.6</v>
      </c>
      <c r="D37" s="140">
        <v>12745.6</v>
      </c>
      <c r="E37" s="140">
        <v>16440.849666890586</v>
      </c>
      <c r="F37" s="140">
        <v>19572.523421975166</v>
      </c>
      <c r="G37" s="140">
        <v>32196</v>
      </c>
      <c r="H37" s="140">
        <v>36529</v>
      </c>
      <c r="I37" s="140">
        <v>41332</v>
      </c>
      <c r="J37" s="140">
        <v>45612</v>
      </c>
      <c r="K37" s="140">
        <v>49097</v>
      </c>
      <c r="L37" s="140">
        <v>52885</v>
      </c>
      <c r="M37" s="140" t="s">
        <v>258</v>
      </c>
      <c r="N37" s="270" t="s">
        <v>91</v>
      </c>
    </row>
    <row r="38" spans="1:16" s="267" customFormat="1" ht="16.5" customHeight="1">
      <c r="A38" s="268" t="s">
        <v>206</v>
      </c>
      <c r="B38" s="285"/>
      <c r="C38" s="140"/>
      <c r="D38" s="140"/>
      <c r="E38" s="140"/>
      <c r="F38" s="140"/>
      <c r="G38" s="140">
        <v>7935</v>
      </c>
      <c r="H38" s="140">
        <v>11115</v>
      </c>
      <c r="I38" s="140">
        <v>14425</v>
      </c>
      <c r="J38" s="140">
        <v>16334</v>
      </c>
      <c r="K38" s="140">
        <v>16334</v>
      </c>
      <c r="L38" s="140">
        <v>16334</v>
      </c>
      <c r="M38" s="140" t="s">
        <v>250</v>
      </c>
      <c r="N38" s="272" t="s">
        <v>224</v>
      </c>
    </row>
    <row r="39" spans="1:16" s="267" customFormat="1" ht="16.5" customHeight="1">
      <c r="A39" s="268" t="s">
        <v>209</v>
      </c>
      <c r="B39" s="285"/>
      <c r="C39" s="140"/>
      <c r="D39" s="140"/>
      <c r="E39" s="140"/>
      <c r="F39" s="140"/>
      <c r="G39" s="140">
        <v>38613</v>
      </c>
      <c r="H39" s="140">
        <v>39388</v>
      </c>
      <c r="I39" s="140">
        <v>42581</v>
      </c>
      <c r="J39" s="140">
        <v>45082</v>
      </c>
      <c r="K39" s="140">
        <v>44516</v>
      </c>
      <c r="L39" s="140">
        <v>48176</v>
      </c>
      <c r="M39" s="140" t="s">
        <v>251</v>
      </c>
      <c r="N39" s="273" t="s">
        <v>225</v>
      </c>
    </row>
    <row r="40" spans="1:16" s="267" customFormat="1" ht="16.5" customHeight="1">
      <c r="A40" s="268" t="s">
        <v>92</v>
      </c>
      <c r="B40" s="285">
        <v>2506</v>
      </c>
      <c r="C40" s="140">
        <v>2417.1999999999998</v>
      </c>
      <c r="D40" s="140">
        <v>2417.1999999999998</v>
      </c>
      <c r="E40" s="140">
        <v>3959.4278283485046</v>
      </c>
      <c r="F40" s="140">
        <v>5502.730819245774</v>
      </c>
      <c r="G40" s="140">
        <v>9307</v>
      </c>
      <c r="H40" s="140">
        <v>12259</v>
      </c>
      <c r="I40" s="140">
        <v>13744</v>
      </c>
      <c r="J40" s="140">
        <v>14987</v>
      </c>
      <c r="K40" s="140">
        <v>15726</v>
      </c>
      <c r="L40" s="140">
        <v>17240</v>
      </c>
      <c r="M40" s="140" t="s">
        <v>259</v>
      </c>
      <c r="N40" s="270" t="s">
        <v>93</v>
      </c>
    </row>
    <row r="41" spans="1:16" s="267" customFormat="1" ht="16.5" customHeight="1">
      <c r="A41" s="268" t="s">
        <v>94</v>
      </c>
      <c r="B41" s="285">
        <v>932</v>
      </c>
      <c r="C41" s="140">
        <v>978</v>
      </c>
      <c r="D41" s="140">
        <v>1027</v>
      </c>
      <c r="E41" s="140">
        <v>1073.5999999999999</v>
      </c>
      <c r="F41" s="140">
        <v>1092.2</v>
      </c>
      <c r="G41" s="140">
        <v>836</v>
      </c>
      <c r="H41" s="140">
        <v>888</v>
      </c>
      <c r="I41" s="140">
        <v>1188</v>
      </c>
      <c r="J41" s="140">
        <v>2175</v>
      </c>
      <c r="K41" s="140">
        <v>2328</v>
      </c>
      <c r="L41" s="140">
        <v>2572</v>
      </c>
      <c r="M41" s="140" t="s">
        <v>262</v>
      </c>
      <c r="N41" s="270" t="s">
        <v>95</v>
      </c>
    </row>
    <row r="42" spans="1:16" s="267" customFormat="1" ht="16.5" customHeight="1">
      <c r="A42" s="268" t="s">
        <v>96</v>
      </c>
      <c r="B42" s="285">
        <v>1920</v>
      </c>
      <c r="C42" s="140">
        <v>3456.1</v>
      </c>
      <c r="D42" s="140">
        <v>4655</v>
      </c>
      <c r="E42" s="140">
        <v>7155.03</v>
      </c>
      <c r="F42" s="140">
        <v>10655.03</v>
      </c>
      <c r="G42" s="140">
        <v>15355.03</v>
      </c>
      <c r="H42" s="140">
        <v>17769</v>
      </c>
      <c r="I42" s="140">
        <v>25894</v>
      </c>
      <c r="J42" s="140">
        <v>30564</v>
      </c>
      <c r="K42" s="140">
        <v>30477</v>
      </c>
      <c r="L42" s="140">
        <v>30804</v>
      </c>
      <c r="M42" s="140" t="s">
        <v>260</v>
      </c>
      <c r="N42" s="270" t="s">
        <v>97</v>
      </c>
    </row>
    <row r="43" spans="1:16" s="267" customFormat="1" ht="16.5" customHeight="1">
      <c r="A43" s="274" t="s">
        <v>117</v>
      </c>
      <c r="B43" s="285">
        <v>16851</v>
      </c>
      <c r="C43" s="140">
        <v>18512</v>
      </c>
      <c r="D43" s="140">
        <v>20454</v>
      </c>
      <c r="E43" s="140">
        <v>33535</v>
      </c>
      <c r="F43" s="140">
        <v>50659</v>
      </c>
      <c r="G43" s="140">
        <v>73479.733333333337</v>
      </c>
      <c r="H43" s="140">
        <v>111632</v>
      </c>
      <c r="I43" s="140">
        <v>147145</v>
      </c>
      <c r="J43" s="140">
        <v>170451</v>
      </c>
      <c r="K43" s="140">
        <v>186850</v>
      </c>
      <c r="L43" s="140">
        <v>199032</v>
      </c>
      <c r="M43" s="140" t="s">
        <v>261</v>
      </c>
      <c r="N43" s="289" t="s">
        <v>98</v>
      </c>
    </row>
    <row r="44" spans="1:16" s="267" customFormat="1" ht="16.5" customHeight="1">
      <c r="A44" s="274" t="s">
        <v>140</v>
      </c>
      <c r="B44" s="285"/>
      <c r="C44" s="140"/>
      <c r="D44" s="140"/>
      <c r="E44" s="140">
        <v>7684.1</v>
      </c>
      <c r="F44" s="140">
        <v>11225.5</v>
      </c>
      <c r="G44" s="140">
        <v>15309</v>
      </c>
      <c r="H44" s="140">
        <v>17808</v>
      </c>
      <c r="I44" s="140">
        <v>20455</v>
      </c>
      <c r="J44" s="140">
        <v>22896</v>
      </c>
      <c r="K44" s="140">
        <v>27902</v>
      </c>
      <c r="L44" s="140">
        <v>30368</v>
      </c>
      <c r="M44" s="140" t="s">
        <v>252</v>
      </c>
      <c r="N44" s="270" t="s">
        <v>114</v>
      </c>
    </row>
    <row r="45" spans="1:16" s="267" customFormat="1" ht="16.5" customHeight="1">
      <c r="A45" s="268" t="s">
        <v>99</v>
      </c>
      <c r="B45" s="285">
        <v>8224</v>
      </c>
      <c r="C45" s="140">
        <v>7663.6</v>
      </c>
      <c r="D45" s="140">
        <v>7938.6</v>
      </c>
      <c r="E45" s="140">
        <v>2532</v>
      </c>
      <c r="F45" s="140">
        <v>3191</v>
      </c>
      <c r="G45" s="140">
        <v>4433</v>
      </c>
      <c r="H45" s="140">
        <v>5900</v>
      </c>
      <c r="I45" s="140">
        <v>8470</v>
      </c>
      <c r="J45" s="140">
        <v>9939</v>
      </c>
      <c r="K45" s="140">
        <v>9939</v>
      </c>
      <c r="L45" s="140">
        <v>9939</v>
      </c>
      <c r="M45" s="140" t="s">
        <v>263</v>
      </c>
      <c r="N45" s="289" t="s">
        <v>100</v>
      </c>
    </row>
    <row r="46" spans="1:16" s="267" customFormat="1" ht="16.5" customHeight="1">
      <c r="A46" s="274" t="s">
        <v>212</v>
      </c>
      <c r="B46" s="285"/>
      <c r="C46" s="140"/>
      <c r="D46" s="140"/>
      <c r="E46" s="140"/>
      <c r="F46" s="140"/>
      <c r="G46" s="140">
        <v>26193</v>
      </c>
      <c r="H46" s="140">
        <v>28525</v>
      </c>
      <c r="I46" s="140">
        <v>31277</v>
      </c>
      <c r="J46" s="140">
        <v>31182</v>
      </c>
      <c r="K46" s="140">
        <v>31414</v>
      </c>
      <c r="L46" s="140">
        <v>33634</v>
      </c>
      <c r="M46" s="140" t="s">
        <v>253</v>
      </c>
      <c r="N46" s="270" t="s">
        <v>213</v>
      </c>
    </row>
    <row r="47" spans="1:16" s="267" customFormat="1" ht="16.5" customHeight="1">
      <c r="A47" s="268" t="s">
        <v>101</v>
      </c>
      <c r="B47" s="285">
        <v>1061</v>
      </c>
      <c r="C47" s="140">
        <v>7823.3</v>
      </c>
      <c r="D47" s="140">
        <v>17826.8</v>
      </c>
      <c r="E47" s="140">
        <v>28727.272770592241</v>
      </c>
      <c r="F47" s="140">
        <v>41533.263240299522</v>
      </c>
      <c r="G47" s="140">
        <v>54500</v>
      </c>
      <c r="H47" s="140">
        <v>68224</v>
      </c>
      <c r="I47" s="140">
        <v>72227</v>
      </c>
      <c r="J47" s="140">
        <v>77727</v>
      </c>
      <c r="K47" s="140">
        <v>85406</v>
      </c>
      <c r="L47" s="140">
        <v>95008</v>
      </c>
      <c r="M47" s="140" t="s">
        <v>264</v>
      </c>
      <c r="N47" s="289" t="s">
        <v>102</v>
      </c>
    </row>
    <row r="48" spans="1:16" s="267" customFormat="1" ht="16.5" customHeight="1" thickBot="1">
      <c r="A48" s="275" t="s">
        <v>103</v>
      </c>
      <c r="B48" s="290">
        <v>1336</v>
      </c>
      <c r="C48" s="140">
        <v>1010.7</v>
      </c>
      <c r="D48" s="140">
        <v>1248.9000000000001</v>
      </c>
      <c r="E48" s="140">
        <v>803.30399999999997</v>
      </c>
      <c r="F48" s="140">
        <v>1924.28</v>
      </c>
      <c r="G48" s="140">
        <v>2985</v>
      </c>
      <c r="H48" s="140">
        <v>4540</v>
      </c>
      <c r="I48" s="140">
        <v>4669</v>
      </c>
      <c r="J48" s="140">
        <v>4858</v>
      </c>
      <c r="K48" s="140">
        <v>4339</v>
      </c>
      <c r="L48" s="140">
        <v>4688</v>
      </c>
      <c r="M48" s="140" t="s">
        <v>265</v>
      </c>
      <c r="N48" s="277" t="s">
        <v>104</v>
      </c>
    </row>
    <row r="49" spans="1:14" s="300" customFormat="1" ht="17.100000000000001" customHeight="1" thickBot="1">
      <c r="A49" s="278" t="s">
        <v>178</v>
      </c>
      <c r="B49" s="304">
        <v>60986</v>
      </c>
      <c r="C49" s="141">
        <f t="shared" ref="C49:I49" si="3">SUM(C32:C48)</f>
        <v>86034.5</v>
      </c>
      <c r="D49" s="141">
        <f t="shared" si="3"/>
        <v>108161.2</v>
      </c>
      <c r="E49" s="141">
        <f t="shared" si="3"/>
        <v>153721.68840250227</v>
      </c>
      <c r="F49" s="141">
        <f t="shared" si="3"/>
        <v>210119.69494550143</v>
      </c>
      <c r="G49" s="141">
        <f t="shared" si="3"/>
        <v>367681.90336780134</v>
      </c>
      <c r="H49" s="141">
        <f t="shared" si="3"/>
        <v>463434.88419897819</v>
      </c>
      <c r="I49" s="141">
        <f t="shared" si="3"/>
        <v>542696.43829787232</v>
      </c>
      <c r="J49" s="141">
        <f>SUM(J32:J48)</f>
        <v>601812</v>
      </c>
      <c r="K49" s="141">
        <f>SUM(K32:K48)</f>
        <v>638671</v>
      </c>
      <c r="L49" s="141">
        <f>SUM(L32:L48)</f>
        <v>683074</v>
      </c>
      <c r="M49" s="141">
        <v>733830</v>
      </c>
      <c r="N49" s="280" t="s">
        <v>105</v>
      </c>
    </row>
    <row r="50" spans="1:14" s="305" customFormat="1" ht="21.75" customHeight="1">
      <c r="A50" s="327" t="s">
        <v>192</v>
      </c>
      <c r="B50" s="327"/>
      <c r="C50" s="327"/>
      <c r="D50" s="327"/>
      <c r="E50" s="327"/>
      <c r="F50" s="327"/>
      <c r="G50" s="327"/>
      <c r="H50" s="327"/>
      <c r="I50" s="291"/>
      <c r="J50" s="328" t="s">
        <v>191</v>
      </c>
      <c r="K50" s="328"/>
      <c r="L50" s="328"/>
      <c r="M50" s="328"/>
      <c r="N50" s="328"/>
    </row>
    <row r="51" spans="1:14" s="307" customFormat="1" ht="9">
      <c r="A51" s="306"/>
      <c r="B51" s="306"/>
      <c r="C51" s="306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>
      <c r="F52" s="309"/>
      <c r="G52" s="309"/>
      <c r="H52" s="309"/>
      <c r="I52" s="309"/>
      <c r="J52" s="309"/>
      <c r="K52" s="309"/>
      <c r="L52" s="309"/>
      <c r="M52" s="309"/>
      <c r="N52" s="309"/>
    </row>
    <row r="53" spans="1:14">
      <c r="F53" s="309"/>
      <c r="G53" s="309"/>
      <c r="H53" s="309"/>
      <c r="I53" s="309"/>
      <c r="J53" s="309"/>
      <c r="K53" s="309"/>
      <c r="L53" s="309"/>
      <c r="M53" s="309"/>
      <c r="N53" s="309"/>
    </row>
    <row r="54" spans="1:14">
      <c r="F54" s="309"/>
      <c r="G54" s="309"/>
      <c r="H54" s="309"/>
      <c r="I54" s="309"/>
      <c r="J54" s="309"/>
      <c r="K54" s="309"/>
      <c r="L54" s="309"/>
      <c r="M54" s="309"/>
      <c r="N54" s="309"/>
    </row>
    <row r="55" spans="1:14">
      <c r="F55" s="309"/>
      <c r="G55" s="309"/>
      <c r="H55" s="309"/>
      <c r="I55" s="309"/>
      <c r="J55" s="309"/>
      <c r="K55" s="309"/>
      <c r="L55" s="309"/>
      <c r="M55" s="309"/>
      <c r="N55" s="309"/>
    </row>
    <row r="56" spans="1:14">
      <c r="F56" s="309"/>
      <c r="G56" s="309"/>
      <c r="H56" s="309"/>
      <c r="I56" s="309"/>
      <c r="J56" s="309"/>
      <c r="K56" s="309"/>
      <c r="L56" s="309"/>
      <c r="M56" s="309"/>
      <c r="N56" s="309"/>
    </row>
    <row r="57" spans="1:14">
      <c r="F57" s="309"/>
      <c r="G57" s="309"/>
      <c r="H57" s="309"/>
      <c r="I57" s="309"/>
      <c r="J57" s="309"/>
      <c r="K57" s="309"/>
      <c r="L57" s="309"/>
      <c r="M57" s="309"/>
      <c r="N57" s="309"/>
    </row>
    <row r="58" spans="1:14">
      <c r="F58" s="309"/>
      <c r="G58" s="309"/>
      <c r="H58" s="309"/>
      <c r="I58" s="309"/>
      <c r="J58" s="309"/>
      <c r="K58" s="309"/>
      <c r="L58" s="309"/>
      <c r="M58" s="309"/>
      <c r="N58" s="309"/>
    </row>
    <row r="59" spans="1:14">
      <c r="F59" s="309"/>
      <c r="G59" s="309"/>
      <c r="H59" s="309"/>
      <c r="I59" s="309"/>
      <c r="J59" s="309"/>
      <c r="K59" s="309"/>
      <c r="L59" s="309"/>
      <c r="M59" s="309"/>
      <c r="N59" s="309"/>
    </row>
    <row r="60" spans="1:14">
      <c r="F60" s="309"/>
      <c r="G60" s="309"/>
      <c r="H60" s="309"/>
      <c r="I60" s="309"/>
      <c r="J60" s="309"/>
      <c r="K60" s="309"/>
      <c r="L60" s="309"/>
      <c r="M60" s="309"/>
      <c r="N60" s="309"/>
    </row>
    <row r="61" spans="1:14">
      <c r="F61" s="309"/>
      <c r="G61" s="309"/>
      <c r="H61" s="309"/>
      <c r="I61" s="309"/>
      <c r="J61" s="309"/>
      <c r="K61" s="309"/>
      <c r="L61" s="309"/>
      <c r="M61" s="309"/>
      <c r="N61" s="309"/>
    </row>
    <row r="62" spans="1:14">
      <c r="F62" s="309"/>
      <c r="G62" s="309"/>
      <c r="H62" s="309"/>
      <c r="I62" s="309"/>
      <c r="J62" s="309"/>
      <c r="K62" s="309"/>
      <c r="L62" s="309"/>
      <c r="M62" s="309"/>
      <c r="N62" s="309"/>
    </row>
    <row r="63" spans="1:14">
      <c r="F63" s="309"/>
      <c r="G63" s="309"/>
      <c r="H63" s="309"/>
      <c r="I63" s="309"/>
      <c r="J63" s="309"/>
      <c r="K63" s="309"/>
      <c r="L63" s="309"/>
      <c r="M63" s="309"/>
      <c r="N63" s="309"/>
    </row>
    <row r="64" spans="1:14">
      <c r="F64" s="309"/>
      <c r="G64" s="309"/>
      <c r="H64" s="309"/>
      <c r="I64" s="309"/>
      <c r="J64" s="309"/>
      <c r="K64" s="309"/>
      <c r="L64" s="309"/>
      <c r="M64" s="309"/>
      <c r="N64" s="309"/>
    </row>
    <row r="65" spans="6:14">
      <c r="F65" s="309"/>
      <c r="G65" s="309"/>
      <c r="H65" s="309"/>
      <c r="I65" s="309"/>
      <c r="J65" s="309"/>
      <c r="K65" s="309"/>
      <c r="L65" s="309"/>
      <c r="M65" s="309"/>
      <c r="N65" s="309"/>
    </row>
    <row r="66" spans="6:14">
      <c r="F66" s="309"/>
      <c r="G66" s="309"/>
      <c r="H66" s="309"/>
      <c r="I66" s="309"/>
      <c r="J66" s="309"/>
      <c r="K66" s="309"/>
      <c r="L66" s="309"/>
      <c r="M66" s="309"/>
      <c r="N66" s="309"/>
    </row>
    <row r="67" spans="6:14">
      <c r="F67" s="309"/>
      <c r="G67" s="309"/>
      <c r="H67" s="309"/>
      <c r="I67" s="309"/>
      <c r="J67" s="309"/>
      <c r="K67" s="309"/>
      <c r="L67" s="309"/>
      <c r="M67" s="309"/>
      <c r="N67" s="309"/>
    </row>
    <row r="68" spans="6:14">
      <c r="F68" s="309"/>
      <c r="G68" s="309"/>
      <c r="H68" s="309"/>
      <c r="I68" s="309"/>
      <c r="J68" s="309"/>
      <c r="K68" s="309"/>
      <c r="L68" s="309"/>
      <c r="M68" s="309"/>
      <c r="N68" s="309"/>
    </row>
    <row r="69" spans="6:14">
      <c r="F69" s="309"/>
      <c r="G69" s="309"/>
      <c r="H69" s="309"/>
      <c r="I69" s="309"/>
      <c r="J69" s="309"/>
      <c r="K69" s="309"/>
      <c r="L69" s="309"/>
      <c r="M69" s="309"/>
      <c r="N69" s="309"/>
    </row>
    <row r="70" spans="6:14">
      <c r="F70" s="309"/>
      <c r="G70" s="309"/>
      <c r="H70" s="309"/>
      <c r="I70" s="309"/>
      <c r="J70" s="309"/>
      <c r="K70" s="309"/>
      <c r="L70" s="309"/>
      <c r="M70" s="309"/>
      <c r="N70" s="309"/>
    </row>
    <row r="71" spans="6:14">
      <c r="F71" s="309"/>
      <c r="G71" s="309"/>
      <c r="H71" s="309"/>
      <c r="I71" s="309"/>
      <c r="J71" s="309"/>
      <c r="K71" s="309"/>
      <c r="L71" s="309"/>
      <c r="M71" s="309"/>
      <c r="N71" s="309"/>
    </row>
    <row r="72" spans="6:14">
      <c r="F72" s="309"/>
      <c r="G72" s="309"/>
      <c r="H72" s="309"/>
      <c r="I72" s="309"/>
      <c r="J72" s="309"/>
      <c r="K72" s="309"/>
      <c r="L72" s="309"/>
      <c r="M72" s="309"/>
      <c r="N72" s="309"/>
    </row>
    <row r="73" spans="6:14">
      <c r="F73" s="309"/>
      <c r="G73" s="309"/>
      <c r="H73" s="309"/>
      <c r="I73" s="309"/>
      <c r="J73" s="309"/>
      <c r="K73" s="309"/>
      <c r="L73" s="309"/>
      <c r="M73" s="309"/>
      <c r="N73" s="309"/>
    </row>
    <row r="74" spans="6:14">
      <c r="F74" s="309"/>
      <c r="G74" s="309"/>
      <c r="H74" s="309"/>
      <c r="I74" s="309"/>
      <c r="J74" s="309"/>
      <c r="K74" s="309"/>
      <c r="L74" s="309"/>
      <c r="M74" s="309"/>
      <c r="N74" s="309"/>
    </row>
    <row r="75" spans="6:14">
      <c r="F75" s="309"/>
      <c r="G75" s="309"/>
      <c r="H75" s="309"/>
      <c r="I75" s="309"/>
      <c r="J75" s="309"/>
      <c r="K75" s="309"/>
      <c r="L75" s="309"/>
      <c r="M75" s="309"/>
      <c r="N75" s="309"/>
    </row>
    <row r="76" spans="6:14">
      <c r="F76" s="309"/>
      <c r="G76" s="309"/>
      <c r="H76" s="309"/>
      <c r="I76" s="309"/>
      <c r="J76" s="309"/>
      <c r="K76" s="309"/>
      <c r="L76" s="309"/>
      <c r="M76" s="309"/>
      <c r="N76" s="309"/>
    </row>
    <row r="77" spans="6:14">
      <c r="F77" s="309"/>
      <c r="G77" s="309"/>
      <c r="H77" s="309"/>
      <c r="I77" s="309"/>
      <c r="J77" s="309"/>
      <c r="K77" s="309"/>
      <c r="L77" s="309"/>
      <c r="M77" s="309"/>
      <c r="N77" s="309"/>
    </row>
    <row r="78" spans="6:14">
      <c r="F78" s="309"/>
      <c r="G78" s="309"/>
      <c r="H78" s="309"/>
      <c r="I78" s="309"/>
      <c r="J78" s="309"/>
      <c r="K78" s="309"/>
      <c r="L78" s="309"/>
      <c r="M78" s="309"/>
      <c r="N78" s="309"/>
    </row>
    <row r="79" spans="6:14">
      <c r="F79" s="309"/>
      <c r="G79" s="309"/>
      <c r="H79" s="309"/>
      <c r="I79" s="309"/>
      <c r="J79" s="309"/>
      <c r="K79" s="309"/>
      <c r="L79" s="309"/>
      <c r="M79" s="309"/>
      <c r="N79" s="309"/>
    </row>
    <row r="80" spans="6:14">
      <c r="F80" s="309"/>
      <c r="G80" s="309"/>
      <c r="H80" s="309"/>
      <c r="I80" s="309"/>
      <c r="J80" s="309"/>
      <c r="K80" s="309"/>
      <c r="L80" s="309"/>
      <c r="M80" s="309"/>
      <c r="N80" s="309"/>
    </row>
    <row r="81" spans="6:14">
      <c r="F81" s="309"/>
      <c r="G81" s="309"/>
      <c r="H81" s="309"/>
      <c r="I81" s="309"/>
      <c r="J81" s="309"/>
      <c r="K81" s="309"/>
      <c r="L81" s="309"/>
      <c r="M81" s="309"/>
      <c r="N81" s="309"/>
    </row>
    <row r="82" spans="6:14">
      <c r="F82" s="309"/>
      <c r="G82" s="309"/>
      <c r="H82" s="309"/>
      <c r="I82" s="309"/>
      <c r="J82" s="309"/>
      <c r="K82" s="309"/>
      <c r="L82" s="309"/>
      <c r="M82" s="309"/>
      <c r="N82" s="309"/>
    </row>
    <row r="83" spans="6:14">
      <c r="F83" s="309"/>
      <c r="G83" s="309"/>
      <c r="H83" s="309"/>
      <c r="I83" s="309"/>
      <c r="J83" s="309"/>
      <c r="K83" s="309"/>
      <c r="L83" s="309"/>
      <c r="M83" s="309"/>
      <c r="N83" s="309"/>
    </row>
    <row r="84" spans="6:14">
      <c r="F84" s="309"/>
      <c r="G84" s="309"/>
      <c r="H84" s="309"/>
      <c r="I84" s="309"/>
      <c r="J84" s="309"/>
      <c r="K84" s="309"/>
      <c r="L84" s="309"/>
      <c r="M84" s="309"/>
      <c r="N84" s="309"/>
    </row>
    <row r="85" spans="6:14">
      <c r="F85" s="309"/>
      <c r="G85" s="309"/>
      <c r="H85" s="309"/>
      <c r="I85" s="309"/>
      <c r="J85" s="309"/>
      <c r="K85" s="309"/>
      <c r="L85" s="309"/>
      <c r="M85" s="309"/>
      <c r="N85" s="309"/>
    </row>
    <row r="86" spans="6:14">
      <c r="F86" s="309"/>
      <c r="G86" s="309"/>
      <c r="H86" s="309"/>
      <c r="I86" s="309"/>
      <c r="J86" s="309"/>
      <c r="K86" s="309"/>
      <c r="L86" s="309"/>
      <c r="M86" s="309"/>
      <c r="N86" s="309"/>
    </row>
    <row r="87" spans="6:14">
      <c r="F87" s="309"/>
      <c r="G87" s="309"/>
      <c r="H87" s="309"/>
      <c r="I87" s="309"/>
      <c r="J87" s="309"/>
      <c r="K87" s="309"/>
      <c r="L87" s="309"/>
      <c r="M87" s="309"/>
      <c r="N87" s="309"/>
    </row>
    <row r="88" spans="6:14">
      <c r="F88" s="309"/>
      <c r="G88" s="309"/>
      <c r="H88" s="309"/>
      <c r="I88" s="309"/>
      <c r="J88" s="309"/>
      <c r="K88" s="309"/>
      <c r="L88" s="309"/>
      <c r="M88" s="309"/>
      <c r="N88" s="309"/>
    </row>
    <row r="89" spans="6:14">
      <c r="F89" s="309"/>
      <c r="G89" s="309"/>
      <c r="H89" s="309"/>
      <c r="I89" s="309"/>
      <c r="J89" s="309"/>
      <c r="K89" s="309"/>
      <c r="L89" s="309"/>
      <c r="M89" s="309"/>
      <c r="N89" s="309"/>
    </row>
    <row r="90" spans="6:14">
      <c r="F90" s="309"/>
      <c r="G90" s="309"/>
      <c r="H90" s="309"/>
      <c r="I90" s="309"/>
      <c r="J90" s="309"/>
      <c r="K90" s="309"/>
      <c r="L90" s="309"/>
      <c r="M90" s="309"/>
      <c r="N90" s="309"/>
    </row>
    <row r="91" spans="6:14">
      <c r="F91" s="309"/>
      <c r="G91" s="309"/>
      <c r="H91" s="309"/>
      <c r="I91" s="309"/>
      <c r="J91" s="309"/>
      <c r="K91" s="309"/>
      <c r="L91" s="309"/>
      <c r="M91" s="309"/>
      <c r="N91" s="309"/>
    </row>
    <row r="92" spans="6:14">
      <c r="F92" s="309"/>
      <c r="G92" s="309"/>
      <c r="H92" s="309"/>
      <c r="I92" s="309"/>
      <c r="J92" s="309"/>
      <c r="K92" s="309"/>
      <c r="L92" s="309"/>
      <c r="M92" s="309"/>
      <c r="N92" s="309"/>
    </row>
    <row r="93" spans="6:14">
      <c r="F93" s="309"/>
      <c r="G93" s="309"/>
      <c r="H93" s="309"/>
      <c r="I93" s="309"/>
      <c r="J93" s="309"/>
      <c r="K93" s="309"/>
      <c r="L93" s="309"/>
      <c r="M93" s="309"/>
      <c r="N93" s="309"/>
    </row>
    <row r="94" spans="6:14">
      <c r="F94" s="309"/>
      <c r="G94" s="309"/>
      <c r="H94" s="309"/>
      <c r="I94" s="309"/>
      <c r="J94" s="309"/>
      <c r="K94" s="309"/>
      <c r="L94" s="309"/>
      <c r="M94" s="309"/>
      <c r="N94" s="309"/>
    </row>
    <row r="95" spans="6:14">
      <c r="F95" s="309"/>
      <c r="G95" s="309"/>
      <c r="H95" s="309"/>
      <c r="I95" s="309"/>
      <c r="J95" s="309"/>
      <c r="K95" s="309"/>
      <c r="L95" s="309"/>
      <c r="M95" s="309"/>
      <c r="N95" s="309"/>
    </row>
    <row r="96" spans="6:14">
      <c r="F96" s="309"/>
      <c r="G96" s="309"/>
      <c r="H96" s="309"/>
      <c r="I96" s="309"/>
      <c r="J96" s="309"/>
      <c r="K96" s="309"/>
      <c r="L96" s="309"/>
      <c r="M96" s="309"/>
      <c r="N96" s="309"/>
    </row>
    <row r="97" spans="6:14">
      <c r="F97" s="309"/>
      <c r="G97" s="309"/>
      <c r="H97" s="309"/>
      <c r="I97" s="309"/>
      <c r="J97" s="309"/>
      <c r="K97" s="309"/>
      <c r="L97" s="309"/>
      <c r="M97" s="309"/>
      <c r="N97" s="309"/>
    </row>
    <row r="98" spans="6:14">
      <c r="F98" s="309"/>
      <c r="G98" s="309"/>
      <c r="H98" s="309"/>
      <c r="I98" s="309"/>
      <c r="J98" s="309"/>
      <c r="K98" s="309"/>
      <c r="L98" s="309"/>
      <c r="M98" s="309"/>
      <c r="N98" s="309"/>
    </row>
    <row r="99" spans="6:14">
      <c r="F99" s="309"/>
      <c r="G99" s="309"/>
      <c r="H99" s="309"/>
      <c r="I99" s="309"/>
      <c r="J99" s="309"/>
      <c r="K99" s="309"/>
      <c r="L99" s="309"/>
      <c r="M99" s="309"/>
      <c r="N99" s="309"/>
    </row>
    <row r="100" spans="6:14">
      <c r="F100" s="309"/>
      <c r="G100" s="309"/>
      <c r="H100" s="309"/>
      <c r="I100" s="309"/>
      <c r="J100" s="309"/>
      <c r="K100" s="309"/>
      <c r="L100" s="309"/>
      <c r="M100" s="309"/>
      <c r="N100" s="309"/>
    </row>
    <row r="101" spans="6:14">
      <c r="F101" s="309"/>
      <c r="G101" s="309"/>
      <c r="H101" s="309"/>
      <c r="I101" s="309"/>
      <c r="J101" s="309"/>
      <c r="K101" s="309"/>
      <c r="L101" s="309"/>
      <c r="M101" s="309"/>
      <c r="N101" s="309"/>
    </row>
    <row r="102" spans="6:14">
      <c r="F102" s="309"/>
      <c r="G102" s="309"/>
      <c r="H102" s="309"/>
      <c r="I102" s="309"/>
      <c r="J102" s="309"/>
      <c r="K102" s="309"/>
      <c r="L102" s="309"/>
      <c r="M102" s="309"/>
      <c r="N102" s="309"/>
    </row>
    <row r="103" spans="6:14">
      <c r="F103" s="309"/>
      <c r="G103" s="309"/>
      <c r="H103" s="309"/>
      <c r="I103" s="309"/>
      <c r="J103" s="309"/>
      <c r="K103" s="309"/>
      <c r="L103" s="309"/>
      <c r="M103" s="309"/>
      <c r="N103" s="309"/>
    </row>
    <row r="104" spans="6:14">
      <c r="F104" s="309"/>
      <c r="G104" s="309"/>
      <c r="H104" s="309"/>
      <c r="I104" s="309"/>
      <c r="J104" s="309"/>
      <c r="K104" s="309"/>
      <c r="L104" s="309"/>
      <c r="M104" s="309"/>
      <c r="N104" s="309"/>
    </row>
    <row r="105" spans="6:14">
      <c r="F105" s="309"/>
      <c r="G105" s="309"/>
      <c r="H105" s="309"/>
      <c r="I105" s="309"/>
      <c r="J105" s="309"/>
      <c r="K105" s="309"/>
      <c r="L105" s="309"/>
      <c r="M105" s="309"/>
      <c r="N105" s="309"/>
    </row>
    <row r="106" spans="6:14">
      <c r="F106" s="309"/>
      <c r="G106" s="309"/>
      <c r="H106" s="309"/>
      <c r="I106" s="309"/>
      <c r="J106" s="309"/>
      <c r="K106" s="309"/>
      <c r="L106" s="309"/>
      <c r="M106" s="309"/>
      <c r="N106" s="309"/>
    </row>
    <row r="107" spans="6:14">
      <c r="F107" s="309"/>
      <c r="G107" s="309"/>
      <c r="H107" s="309"/>
      <c r="I107" s="309"/>
      <c r="J107" s="309"/>
      <c r="K107" s="309"/>
      <c r="L107" s="309"/>
      <c r="M107" s="309"/>
      <c r="N107" s="309"/>
    </row>
    <row r="108" spans="6:14">
      <c r="F108" s="309"/>
      <c r="G108" s="309"/>
      <c r="H108" s="309"/>
      <c r="I108" s="309"/>
      <c r="J108" s="309"/>
      <c r="K108" s="309"/>
      <c r="L108" s="309"/>
      <c r="M108" s="309"/>
      <c r="N108" s="309"/>
    </row>
    <row r="109" spans="6:14">
      <c r="F109" s="309"/>
      <c r="G109" s="309"/>
      <c r="H109" s="309"/>
      <c r="I109" s="309"/>
      <c r="J109" s="309"/>
      <c r="K109" s="309"/>
      <c r="L109" s="309"/>
      <c r="M109" s="309"/>
      <c r="N109" s="309"/>
    </row>
    <row r="110" spans="6:14">
      <c r="F110" s="309"/>
      <c r="G110" s="309"/>
      <c r="H110" s="309"/>
      <c r="I110" s="309"/>
      <c r="J110" s="309"/>
      <c r="K110" s="309"/>
      <c r="L110" s="309"/>
      <c r="M110" s="309"/>
      <c r="N110" s="309"/>
    </row>
    <row r="111" spans="6:14">
      <c r="F111" s="309"/>
      <c r="G111" s="309"/>
      <c r="H111" s="309"/>
      <c r="I111" s="309"/>
      <c r="J111" s="309"/>
      <c r="K111" s="309"/>
      <c r="L111" s="309"/>
      <c r="M111" s="309"/>
      <c r="N111" s="309"/>
    </row>
    <row r="112" spans="6:14">
      <c r="F112" s="309"/>
      <c r="G112" s="309"/>
      <c r="H112" s="309"/>
      <c r="I112" s="309"/>
      <c r="J112" s="309"/>
      <c r="K112" s="309"/>
      <c r="L112" s="309"/>
      <c r="M112" s="309"/>
      <c r="N112" s="309"/>
    </row>
    <row r="113" spans="6:14">
      <c r="F113" s="309"/>
      <c r="G113" s="309"/>
      <c r="H113" s="309"/>
      <c r="I113" s="309"/>
      <c r="J113" s="309"/>
      <c r="K113" s="309"/>
      <c r="L113" s="309"/>
      <c r="M113" s="309"/>
      <c r="N113" s="309"/>
    </row>
    <row r="114" spans="6:14">
      <c r="F114" s="309"/>
      <c r="G114" s="309"/>
      <c r="H114" s="309"/>
      <c r="I114" s="309"/>
      <c r="J114" s="309"/>
      <c r="K114" s="309"/>
      <c r="L114" s="309"/>
      <c r="M114" s="309"/>
      <c r="N114" s="309"/>
    </row>
    <row r="115" spans="6:14">
      <c r="F115" s="309"/>
      <c r="G115" s="309"/>
      <c r="H115" s="309"/>
      <c r="I115" s="309"/>
      <c r="J115" s="309"/>
      <c r="K115" s="309"/>
      <c r="L115" s="309"/>
      <c r="M115" s="309"/>
      <c r="N115" s="309"/>
    </row>
    <row r="116" spans="6:14">
      <c r="F116" s="309"/>
      <c r="G116" s="309"/>
      <c r="H116" s="309"/>
      <c r="I116" s="309"/>
      <c r="J116" s="309"/>
      <c r="K116" s="309"/>
      <c r="L116" s="309"/>
      <c r="M116" s="309"/>
      <c r="N116" s="309"/>
    </row>
    <row r="117" spans="6:14">
      <c r="F117" s="309"/>
      <c r="G117" s="309"/>
      <c r="H117" s="309"/>
      <c r="I117" s="309"/>
      <c r="J117" s="309"/>
      <c r="K117" s="309"/>
      <c r="L117" s="309"/>
      <c r="M117" s="309"/>
      <c r="N117" s="309"/>
    </row>
    <row r="118" spans="6:14">
      <c r="F118" s="309"/>
      <c r="G118" s="309"/>
      <c r="H118" s="309"/>
      <c r="I118" s="309"/>
      <c r="J118" s="309"/>
      <c r="K118" s="309"/>
      <c r="L118" s="309"/>
      <c r="M118" s="309"/>
      <c r="N118" s="309"/>
    </row>
    <row r="119" spans="6:14">
      <c r="F119" s="309"/>
      <c r="G119" s="309"/>
      <c r="H119" s="309"/>
      <c r="I119" s="309"/>
      <c r="J119" s="309"/>
      <c r="K119" s="309"/>
      <c r="L119" s="309"/>
      <c r="M119" s="309"/>
      <c r="N119" s="309"/>
    </row>
    <row r="120" spans="6:14">
      <c r="F120" s="309"/>
      <c r="G120" s="309"/>
      <c r="H120" s="309"/>
      <c r="I120" s="309"/>
      <c r="J120" s="309"/>
      <c r="K120" s="309"/>
      <c r="L120" s="309"/>
      <c r="M120" s="309"/>
      <c r="N120" s="309"/>
    </row>
    <row r="121" spans="6:14">
      <c r="F121" s="309"/>
      <c r="G121" s="309"/>
      <c r="H121" s="309"/>
      <c r="I121" s="309"/>
      <c r="J121" s="309"/>
      <c r="K121" s="309"/>
      <c r="L121" s="309"/>
      <c r="M121" s="309"/>
      <c r="N121" s="309"/>
    </row>
    <row r="122" spans="6:14">
      <c r="F122" s="309"/>
      <c r="G122" s="309"/>
      <c r="H122" s="309"/>
      <c r="I122" s="309"/>
      <c r="J122" s="309"/>
      <c r="K122" s="309"/>
      <c r="L122" s="309"/>
      <c r="M122" s="309"/>
      <c r="N122" s="309"/>
    </row>
    <row r="123" spans="6:14">
      <c r="F123" s="309"/>
      <c r="G123" s="309"/>
      <c r="H123" s="309"/>
      <c r="I123" s="309"/>
      <c r="J123" s="309"/>
      <c r="K123" s="309"/>
      <c r="L123" s="309"/>
      <c r="M123" s="309"/>
      <c r="N123" s="309"/>
    </row>
    <row r="124" spans="6:14">
      <c r="F124" s="309"/>
      <c r="G124" s="309"/>
      <c r="H124" s="309"/>
      <c r="I124" s="309"/>
      <c r="J124" s="309"/>
      <c r="K124" s="309"/>
      <c r="L124" s="309"/>
      <c r="M124" s="309"/>
      <c r="N124" s="309"/>
    </row>
    <row r="125" spans="6:14">
      <c r="F125" s="309"/>
      <c r="G125" s="309"/>
      <c r="H125" s="309"/>
      <c r="I125" s="309"/>
      <c r="J125" s="309"/>
      <c r="K125" s="309"/>
      <c r="L125" s="309"/>
      <c r="M125" s="309"/>
      <c r="N125" s="309"/>
    </row>
    <row r="126" spans="6:14">
      <c r="F126" s="309"/>
      <c r="G126" s="309"/>
      <c r="H126" s="309"/>
      <c r="I126" s="309"/>
      <c r="J126" s="309"/>
      <c r="K126" s="309"/>
      <c r="L126" s="309"/>
      <c r="M126" s="309"/>
      <c r="N126" s="309"/>
    </row>
    <row r="127" spans="6:14">
      <c r="F127" s="309"/>
      <c r="G127" s="309"/>
      <c r="H127" s="309"/>
      <c r="I127" s="309"/>
      <c r="J127" s="309"/>
      <c r="K127" s="309"/>
      <c r="L127" s="309"/>
      <c r="M127" s="309"/>
      <c r="N127" s="309"/>
    </row>
    <row r="128" spans="6:14">
      <c r="F128" s="309"/>
      <c r="G128" s="309"/>
      <c r="H128" s="309"/>
      <c r="I128" s="309"/>
      <c r="J128" s="309"/>
      <c r="K128" s="309"/>
      <c r="L128" s="309"/>
      <c r="M128" s="309"/>
      <c r="N128" s="309"/>
    </row>
    <row r="129" spans="6:14">
      <c r="F129" s="309"/>
      <c r="G129" s="309"/>
      <c r="H129" s="309"/>
      <c r="I129" s="309"/>
      <c r="J129" s="309"/>
      <c r="K129" s="309"/>
      <c r="L129" s="309"/>
      <c r="M129" s="309"/>
      <c r="N129" s="309"/>
    </row>
    <row r="130" spans="6:14">
      <c r="F130" s="309"/>
      <c r="G130" s="309"/>
      <c r="H130" s="309"/>
      <c r="I130" s="309"/>
      <c r="J130" s="309"/>
      <c r="K130" s="309"/>
      <c r="L130" s="309"/>
      <c r="M130" s="309"/>
      <c r="N130" s="309"/>
    </row>
    <row r="131" spans="6:14">
      <c r="F131" s="309"/>
      <c r="G131" s="309"/>
      <c r="H131" s="309"/>
      <c r="I131" s="309"/>
      <c r="J131" s="309"/>
      <c r="K131" s="309"/>
      <c r="L131" s="309"/>
      <c r="M131" s="309"/>
      <c r="N131" s="309"/>
    </row>
    <row r="132" spans="6:14"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6:14">
      <c r="F133" s="309"/>
      <c r="G133" s="309"/>
      <c r="H133" s="309"/>
      <c r="I133" s="309"/>
      <c r="J133" s="309"/>
      <c r="K133" s="309"/>
      <c r="L133" s="309"/>
      <c r="M133" s="309"/>
      <c r="N133" s="309"/>
    </row>
    <row r="134" spans="6:14">
      <c r="F134" s="309"/>
      <c r="G134" s="309"/>
      <c r="H134" s="309"/>
      <c r="I134" s="309"/>
      <c r="J134" s="309"/>
      <c r="K134" s="309"/>
      <c r="L134" s="309"/>
      <c r="M134" s="309"/>
      <c r="N134" s="309"/>
    </row>
    <row r="135" spans="6:14">
      <c r="F135" s="309"/>
      <c r="G135" s="309"/>
      <c r="H135" s="309"/>
      <c r="I135" s="309"/>
      <c r="J135" s="309"/>
      <c r="K135" s="309"/>
      <c r="L135" s="309"/>
      <c r="M135" s="309"/>
      <c r="N135" s="309"/>
    </row>
    <row r="136" spans="6:14">
      <c r="F136" s="309"/>
      <c r="G136" s="309"/>
      <c r="H136" s="309"/>
      <c r="I136" s="309"/>
      <c r="J136" s="309"/>
      <c r="K136" s="309"/>
      <c r="L136" s="309"/>
      <c r="M136" s="309"/>
      <c r="N136" s="309"/>
    </row>
    <row r="137" spans="6:14">
      <c r="F137" s="309"/>
      <c r="G137" s="309"/>
      <c r="H137" s="309"/>
      <c r="I137" s="309"/>
      <c r="J137" s="309"/>
      <c r="K137" s="309"/>
      <c r="L137" s="309"/>
      <c r="M137" s="309"/>
      <c r="N137" s="309"/>
    </row>
    <row r="138" spans="6:14">
      <c r="F138" s="309"/>
      <c r="G138" s="309"/>
      <c r="H138" s="309"/>
      <c r="I138" s="309"/>
      <c r="J138" s="309"/>
      <c r="K138" s="309"/>
      <c r="L138" s="309"/>
      <c r="M138" s="309"/>
      <c r="N138" s="309"/>
    </row>
    <row r="139" spans="6:14">
      <c r="F139" s="309"/>
      <c r="G139" s="309"/>
      <c r="H139" s="309"/>
      <c r="I139" s="309"/>
      <c r="J139" s="309"/>
      <c r="K139" s="309"/>
      <c r="L139" s="309"/>
      <c r="M139" s="309"/>
      <c r="N139" s="309"/>
    </row>
    <row r="140" spans="6:14">
      <c r="F140" s="309"/>
      <c r="G140" s="309"/>
      <c r="H140" s="309"/>
      <c r="I140" s="309"/>
      <c r="J140" s="309"/>
      <c r="K140" s="309"/>
      <c r="L140" s="309"/>
      <c r="M140" s="309"/>
      <c r="N140" s="309"/>
    </row>
    <row r="141" spans="6:14">
      <c r="F141" s="309"/>
      <c r="G141" s="309"/>
      <c r="H141" s="309"/>
      <c r="I141" s="309"/>
      <c r="J141" s="309"/>
      <c r="K141" s="309"/>
      <c r="L141" s="309"/>
      <c r="M141" s="309"/>
      <c r="N141" s="309"/>
    </row>
    <row r="142" spans="6:14">
      <c r="F142" s="309"/>
      <c r="G142" s="309"/>
      <c r="H142" s="309"/>
      <c r="I142" s="309"/>
      <c r="J142" s="309"/>
      <c r="K142" s="309"/>
      <c r="L142" s="309"/>
      <c r="M142" s="309"/>
      <c r="N142" s="309"/>
    </row>
    <row r="143" spans="6:14">
      <c r="F143" s="309"/>
      <c r="G143" s="309"/>
      <c r="H143" s="309"/>
      <c r="I143" s="309"/>
      <c r="J143" s="309"/>
      <c r="K143" s="309"/>
      <c r="L143" s="309"/>
      <c r="M143" s="309"/>
      <c r="N143" s="309"/>
    </row>
    <row r="144" spans="6:14">
      <c r="F144" s="309"/>
      <c r="G144" s="309"/>
      <c r="H144" s="309"/>
      <c r="I144" s="309"/>
      <c r="J144" s="309"/>
      <c r="K144" s="309"/>
      <c r="L144" s="309"/>
      <c r="M144" s="309"/>
      <c r="N144" s="309"/>
    </row>
    <row r="145" spans="6:14">
      <c r="F145" s="309"/>
      <c r="G145" s="309"/>
      <c r="H145" s="309"/>
      <c r="I145" s="309"/>
      <c r="J145" s="309"/>
      <c r="K145" s="309"/>
      <c r="L145" s="309"/>
      <c r="M145" s="309"/>
      <c r="N145" s="309"/>
    </row>
    <row r="146" spans="6:14">
      <c r="F146" s="309"/>
      <c r="G146" s="309"/>
      <c r="H146" s="309"/>
      <c r="I146" s="309"/>
      <c r="J146" s="309"/>
      <c r="K146" s="309"/>
      <c r="L146" s="309"/>
      <c r="M146" s="309"/>
      <c r="N146" s="309"/>
    </row>
    <row r="147" spans="6:14">
      <c r="F147" s="309"/>
      <c r="G147" s="309"/>
      <c r="H147" s="309"/>
      <c r="I147" s="309"/>
      <c r="J147" s="309"/>
      <c r="K147" s="309"/>
      <c r="L147" s="309"/>
      <c r="M147" s="309"/>
      <c r="N147" s="309"/>
    </row>
    <row r="148" spans="6:14">
      <c r="F148" s="309"/>
      <c r="G148" s="309"/>
      <c r="H148" s="309"/>
      <c r="I148" s="309"/>
      <c r="J148" s="309"/>
      <c r="K148" s="309"/>
      <c r="L148" s="309"/>
      <c r="M148" s="309"/>
      <c r="N148" s="309"/>
    </row>
    <row r="149" spans="6:14">
      <c r="F149" s="309"/>
      <c r="G149" s="309"/>
      <c r="H149" s="309"/>
      <c r="I149" s="309"/>
      <c r="J149" s="309"/>
      <c r="K149" s="309"/>
      <c r="L149" s="309"/>
      <c r="M149" s="309"/>
      <c r="N149" s="309"/>
    </row>
    <row r="150" spans="6:14">
      <c r="F150" s="309"/>
      <c r="G150" s="309"/>
      <c r="H150" s="309"/>
      <c r="I150" s="309"/>
      <c r="J150" s="309"/>
      <c r="K150" s="309"/>
      <c r="L150" s="309"/>
      <c r="M150" s="309"/>
      <c r="N150" s="309"/>
    </row>
    <row r="151" spans="6:14">
      <c r="F151" s="309"/>
      <c r="G151" s="309"/>
      <c r="H151" s="309"/>
      <c r="I151" s="309"/>
      <c r="J151" s="309"/>
      <c r="K151" s="309"/>
      <c r="L151" s="309"/>
      <c r="M151" s="309"/>
      <c r="N151" s="309"/>
    </row>
    <row r="152" spans="6:14">
      <c r="F152" s="309"/>
      <c r="G152" s="309"/>
      <c r="H152" s="309"/>
      <c r="I152" s="309"/>
      <c r="J152" s="309"/>
      <c r="K152" s="309"/>
      <c r="L152" s="309"/>
      <c r="M152" s="309"/>
      <c r="N152" s="309"/>
    </row>
    <row r="153" spans="6:14">
      <c r="F153" s="309"/>
      <c r="G153" s="309"/>
      <c r="H153" s="309"/>
      <c r="I153" s="309"/>
      <c r="J153" s="309"/>
      <c r="K153" s="309"/>
      <c r="L153" s="309"/>
      <c r="M153" s="309"/>
      <c r="N153" s="309"/>
    </row>
    <row r="154" spans="6:14">
      <c r="F154" s="309"/>
      <c r="G154" s="309"/>
      <c r="H154" s="309"/>
      <c r="I154" s="309"/>
      <c r="J154" s="309"/>
      <c r="K154" s="309"/>
      <c r="L154" s="309"/>
      <c r="M154" s="309"/>
      <c r="N154" s="309"/>
    </row>
    <row r="155" spans="6:14">
      <c r="F155" s="309"/>
      <c r="G155" s="309"/>
      <c r="H155" s="309"/>
      <c r="I155" s="309"/>
      <c r="J155" s="309"/>
      <c r="K155" s="309"/>
      <c r="L155" s="309"/>
      <c r="M155" s="309"/>
      <c r="N155" s="309"/>
    </row>
    <row r="156" spans="6:14">
      <c r="F156" s="309"/>
      <c r="G156" s="309"/>
      <c r="H156" s="309"/>
      <c r="I156" s="309"/>
      <c r="J156" s="309"/>
      <c r="K156" s="309"/>
      <c r="L156" s="309"/>
      <c r="M156" s="309"/>
      <c r="N156" s="309"/>
    </row>
    <row r="157" spans="6:14">
      <c r="F157" s="309"/>
      <c r="G157" s="309"/>
      <c r="H157" s="309"/>
      <c r="I157" s="309"/>
      <c r="J157" s="309"/>
      <c r="K157" s="309"/>
      <c r="L157" s="309"/>
      <c r="M157" s="309"/>
      <c r="N157" s="309"/>
    </row>
    <row r="158" spans="6:14">
      <c r="F158" s="309"/>
      <c r="G158" s="309"/>
      <c r="H158" s="309"/>
      <c r="I158" s="309"/>
      <c r="J158" s="309"/>
      <c r="K158" s="309"/>
      <c r="L158" s="309"/>
      <c r="M158" s="309"/>
      <c r="N158" s="309"/>
    </row>
    <row r="159" spans="6:14">
      <c r="F159" s="309"/>
      <c r="G159" s="309"/>
      <c r="H159" s="309"/>
      <c r="I159" s="309"/>
      <c r="J159" s="309"/>
      <c r="K159" s="309"/>
      <c r="L159" s="309"/>
      <c r="M159" s="309"/>
      <c r="N159" s="309"/>
    </row>
    <row r="160" spans="6:14">
      <c r="F160" s="309"/>
      <c r="G160" s="309"/>
      <c r="H160" s="309"/>
      <c r="I160" s="309"/>
      <c r="J160" s="309"/>
      <c r="K160" s="309"/>
      <c r="L160" s="309"/>
      <c r="M160" s="309"/>
      <c r="N160" s="309"/>
    </row>
    <row r="161" spans="6:14">
      <c r="F161" s="309"/>
      <c r="G161" s="309"/>
      <c r="H161" s="309"/>
      <c r="I161" s="309"/>
      <c r="J161" s="309"/>
      <c r="K161" s="309"/>
      <c r="L161" s="309"/>
      <c r="M161" s="309"/>
      <c r="N161" s="309"/>
    </row>
    <row r="162" spans="6:14">
      <c r="F162" s="309"/>
      <c r="G162" s="309"/>
      <c r="H162" s="309"/>
      <c r="I162" s="309"/>
      <c r="J162" s="309"/>
      <c r="K162" s="309"/>
      <c r="L162" s="309"/>
      <c r="M162" s="309"/>
      <c r="N162" s="309"/>
    </row>
    <row r="163" spans="6:14">
      <c r="F163" s="309"/>
      <c r="G163" s="309"/>
      <c r="H163" s="309"/>
      <c r="I163" s="309"/>
      <c r="J163" s="309"/>
      <c r="K163" s="309"/>
      <c r="L163" s="309"/>
      <c r="M163" s="309"/>
      <c r="N163" s="309"/>
    </row>
    <row r="164" spans="6:14">
      <c r="F164" s="309"/>
      <c r="G164" s="309"/>
      <c r="H164" s="309"/>
      <c r="I164" s="309"/>
      <c r="J164" s="309"/>
      <c r="K164" s="309"/>
      <c r="L164" s="309"/>
      <c r="M164" s="309"/>
      <c r="N164" s="309"/>
    </row>
    <row r="165" spans="6:14">
      <c r="F165" s="309"/>
      <c r="G165" s="309"/>
      <c r="H165" s="309"/>
      <c r="I165" s="309"/>
      <c r="J165" s="309"/>
      <c r="K165" s="309"/>
      <c r="L165" s="309"/>
      <c r="M165" s="309"/>
      <c r="N165" s="309"/>
    </row>
    <row r="166" spans="6:14">
      <c r="F166" s="309"/>
      <c r="G166" s="309"/>
      <c r="H166" s="309"/>
      <c r="I166" s="309"/>
      <c r="J166" s="309"/>
      <c r="K166" s="309"/>
      <c r="L166" s="309"/>
      <c r="M166" s="309"/>
      <c r="N166" s="309"/>
    </row>
    <row r="167" spans="6:14">
      <c r="F167" s="309"/>
      <c r="G167" s="309"/>
      <c r="H167" s="309"/>
      <c r="I167" s="309"/>
      <c r="J167" s="309"/>
      <c r="K167" s="309"/>
      <c r="L167" s="309"/>
      <c r="M167" s="309"/>
      <c r="N167" s="309"/>
    </row>
    <row r="168" spans="6:14">
      <c r="F168" s="309"/>
      <c r="G168" s="309"/>
      <c r="H168" s="309"/>
      <c r="I168" s="309"/>
      <c r="J168" s="309"/>
      <c r="K168" s="309"/>
      <c r="L168" s="309"/>
      <c r="M168" s="309"/>
      <c r="N168" s="309"/>
    </row>
    <row r="169" spans="6:14">
      <c r="F169" s="309"/>
      <c r="G169" s="309"/>
      <c r="H169" s="309"/>
      <c r="I169" s="309"/>
      <c r="J169" s="309"/>
      <c r="K169" s="309"/>
      <c r="L169" s="309"/>
      <c r="M169" s="309"/>
      <c r="N169" s="309"/>
    </row>
    <row r="170" spans="6:14">
      <c r="F170" s="309"/>
      <c r="G170" s="309"/>
      <c r="H170" s="309"/>
      <c r="I170" s="309"/>
      <c r="J170" s="309"/>
      <c r="K170" s="309"/>
      <c r="L170" s="309"/>
      <c r="M170" s="309"/>
      <c r="N170" s="309"/>
    </row>
    <row r="171" spans="6:14">
      <c r="F171" s="309"/>
      <c r="G171" s="309"/>
      <c r="H171" s="309"/>
      <c r="I171" s="309"/>
      <c r="J171" s="309"/>
      <c r="K171" s="309"/>
      <c r="L171" s="309"/>
      <c r="M171" s="309"/>
      <c r="N171" s="309"/>
    </row>
    <row r="172" spans="6:14">
      <c r="F172" s="309"/>
      <c r="G172" s="309"/>
      <c r="H172" s="309"/>
      <c r="I172" s="309"/>
      <c r="J172" s="309"/>
      <c r="K172" s="309"/>
      <c r="L172" s="309"/>
      <c r="M172" s="309"/>
      <c r="N172" s="309"/>
    </row>
    <row r="173" spans="6:14">
      <c r="F173" s="309"/>
      <c r="G173" s="309"/>
      <c r="H173" s="309"/>
      <c r="I173" s="309"/>
      <c r="J173" s="309"/>
      <c r="K173" s="309"/>
      <c r="L173" s="309"/>
      <c r="M173" s="309"/>
      <c r="N173" s="309"/>
    </row>
    <row r="174" spans="6:14">
      <c r="F174" s="309"/>
      <c r="G174" s="309"/>
      <c r="H174" s="309"/>
      <c r="I174" s="309"/>
      <c r="J174" s="309"/>
      <c r="K174" s="309"/>
      <c r="L174" s="309"/>
      <c r="M174" s="309"/>
      <c r="N174" s="309"/>
    </row>
    <row r="175" spans="6:14">
      <c r="F175" s="309"/>
      <c r="G175" s="309"/>
      <c r="H175" s="309"/>
      <c r="I175" s="309"/>
      <c r="J175" s="309"/>
      <c r="K175" s="309"/>
      <c r="L175" s="309"/>
      <c r="M175" s="309"/>
      <c r="N175" s="309"/>
    </row>
    <row r="176" spans="6:14">
      <c r="F176" s="309"/>
      <c r="G176" s="309"/>
      <c r="H176" s="309"/>
      <c r="I176" s="309"/>
      <c r="J176" s="309"/>
      <c r="K176" s="309"/>
      <c r="L176" s="309"/>
      <c r="M176" s="309"/>
      <c r="N176" s="309"/>
    </row>
    <row r="177" spans="6:14">
      <c r="F177" s="309"/>
      <c r="G177" s="309"/>
      <c r="H177" s="309"/>
      <c r="I177" s="309"/>
      <c r="J177" s="309"/>
      <c r="K177" s="309"/>
      <c r="L177" s="309"/>
      <c r="M177" s="309"/>
      <c r="N177" s="309"/>
    </row>
    <row r="178" spans="6:14">
      <c r="F178" s="309"/>
      <c r="G178" s="309"/>
      <c r="H178" s="309"/>
      <c r="I178" s="309"/>
      <c r="J178" s="309"/>
      <c r="K178" s="309"/>
      <c r="L178" s="309"/>
      <c r="M178" s="309"/>
      <c r="N178" s="309"/>
    </row>
    <row r="179" spans="6:14">
      <c r="F179" s="309"/>
      <c r="G179" s="309"/>
      <c r="H179" s="309"/>
      <c r="I179" s="309"/>
      <c r="J179" s="309"/>
      <c r="K179" s="309"/>
      <c r="L179" s="309"/>
      <c r="M179" s="309"/>
      <c r="N179" s="309"/>
    </row>
    <row r="180" spans="6:14">
      <c r="F180" s="309"/>
      <c r="G180" s="309"/>
      <c r="H180" s="309"/>
      <c r="I180" s="309"/>
      <c r="J180" s="309"/>
      <c r="K180" s="309"/>
      <c r="L180" s="309"/>
      <c r="M180" s="309"/>
      <c r="N180" s="309"/>
    </row>
    <row r="181" spans="6:14">
      <c r="F181" s="309"/>
      <c r="G181" s="309"/>
      <c r="H181" s="309"/>
      <c r="I181" s="309"/>
      <c r="J181" s="309"/>
      <c r="K181" s="309"/>
      <c r="L181" s="309"/>
      <c r="M181" s="309"/>
      <c r="N181" s="309"/>
    </row>
    <row r="182" spans="6:14">
      <c r="F182" s="309"/>
      <c r="G182" s="309"/>
      <c r="H182" s="309"/>
      <c r="I182" s="309"/>
      <c r="J182" s="309"/>
      <c r="K182" s="309"/>
      <c r="L182" s="309"/>
      <c r="M182" s="309"/>
      <c r="N182" s="309"/>
    </row>
    <row r="183" spans="6:14">
      <c r="F183" s="309"/>
      <c r="G183" s="309"/>
      <c r="H183" s="309"/>
      <c r="I183" s="309"/>
      <c r="J183" s="309"/>
      <c r="K183" s="309"/>
      <c r="L183" s="309"/>
      <c r="M183" s="309"/>
      <c r="N183" s="309"/>
    </row>
    <row r="184" spans="6:14">
      <c r="F184" s="309"/>
      <c r="G184" s="309"/>
      <c r="H184" s="309"/>
      <c r="I184" s="309"/>
      <c r="J184" s="309"/>
      <c r="K184" s="309"/>
      <c r="L184" s="309"/>
      <c r="M184" s="309"/>
      <c r="N184" s="309"/>
    </row>
    <row r="185" spans="6:14">
      <c r="F185" s="309"/>
      <c r="G185" s="309"/>
      <c r="H185" s="309"/>
      <c r="I185" s="309"/>
      <c r="J185" s="309"/>
      <c r="K185" s="309"/>
      <c r="L185" s="309"/>
      <c r="M185" s="309"/>
      <c r="N185" s="309"/>
    </row>
    <row r="186" spans="6:14">
      <c r="F186" s="309"/>
      <c r="G186" s="309"/>
      <c r="H186" s="309"/>
      <c r="I186" s="309"/>
      <c r="J186" s="309"/>
      <c r="K186" s="309"/>
      <c r="L186" s="309"/>
      <c r="M186" s="309"/>
      <c r="N186" s="309"/>
    </row>
    <row r="187" spans="6:14">
      <c r="F187" s="309"/>
      <c r="G187" s="309"/>
      <c r="H187" s="309"/>
      <c r="I187" s="309"/>
      <c r="J187" s="309"/>
      <c r="K187" s="309"/>
      <c r="L187" s="309"/>
      <c r="M187" s="309"/>
      <c r="N187" s="309"/>
    </row>
    <row r="188" spans="6:14">
      <c r="F188" s="309"/>
      <c r="G188" s="309"/>
      <c r="H188" s="309"/>
      <c r="I188" s="309"/>
      <c r="J188" s="309"/>
      <c r="K188" s="309"/>
      <c r="L188" s="309"/>
      <c r="M188" s="309"/>
      <c r="N188" s="309"/>
    </row>
    <row r="189" spans="6:14">
      <c r="F189" s="309"/>
      <c r="G189" s="309"/>
      <c r="H189" s="309"/>
      <c r="I189" s="309"/>
      <c r="J189" s="309"/>
      <c r="K189" s="309"/>
      <c r="L189" s="309"/>
      <c r="M189" s="309"/>
      <c r="N189" s="309"/>
    </row>
    <row r="190" spans="6:14">
      <c r="F190" s="309"/>
      <c r="G190" s="309"/>
      <c r="H190" s="309"/>
      <c r="I190" s="309"/>
      <c r="J190" s="309"/>
      <c r="K190" s="309"/>
      <c r="L190" s="309"/>
      <c r="M190" s="309"/>
      <c r="N190" s="309"/>
    </row>
    <row r="191" spans="6:14">
      <c r="F191" s="309"/>
      <c r="G191" s="309"/>
      <c r="H191" s="309"/>
      <c r="I191" s="309"/>
      <c r="J191" s="309"/>
      <c r="K191" s="309"/>
      <c r="L191" s="309"/>
      <c r="M191" s="309"/>
      <c r="N191" s="309"/>
    </row>
    <row r="192" spans="6:14">
      <c r="F192" s="309"/>
      <c r="G192" s="309"/>
      <c r="H192" s="309"/>
      <c r="I192" s="309"/>
      <c r="J192" s="309"/>
      <c r="K192" s="309"/>
      <c r="L192" s="309"/>
      <c r="M192" s="309"/>
      <c r="N192" s="309"/>
    </row>
    <row r="193" spans="6:14">
      <c r="F193" s="309"/>
      <c r="G193" s="309"/>
      <c r="H193" s="309"/>
      <c r="I193" s="309"/>
      <c r="J193" s="309"/>
      <c r="K193" s="309"/>
      <c r="L193" s="309"/>
      <c r="M193" s="309"/>
      <c r="N193" s="309"/>
    </row>
    <row r="194" spans="6:14">
      <c r="F194" s="309"/>
      <c r="G194" s="309"/>
      <c r="H194" s="309"/>
      <c r="I194" s="309"/>
      <c r="J194" s="309"/>
      <c r="K194" s="309"/>
      <c r="L194" s="309"/>
      <c r="M194" s="309"/>
      <c r="N194" s="309"/>
    </row>
    <row r="195" spans="6:14">
      <c r="F195" s="309"/>
      <c r="G195" s="309"/>
      <c r="H195" s="309"/>
      <c r="I195" s="309"/>
      <c r="J195" s="309"/>
      <c r="K195" s="309"/>
      <c r="L195" s="309"/>
      <c r="M195" s="309"/>
      <c r="N195" s="309"/>
    </row>
    <row r="196" spans="6:14">
      <c r="F196" s="309"/>
      <c r="G196" s="309"/>
      <c r="H196" s="309"/>
      <c r="I196" s="309"/>
      <c r="J196" s="309"/>
      <c r="K196" s="309"/>
      <c r="L196" s="309"/>
      <c r="M196" s="309"/>
      <c r="N196" s="309"/>
    </row>
    <row r="197" spans="6:14">
      <c r="F197" s="309"/>
      <c r="G197" s="309"/>
      <c r="H197" s="309"/>
      <c r="I197" s="309"/>
      <c r="J197" s="309"/>
      <c r="K197" s="309"/>
      <c r="L197" s="309"/>
      <c r="M197" s="309"/>
      <c r="N197" s="309"/>
    </row>
    <row r="198" spans="6:14">
      <c r="F198" s="309"/>
      <c r="G198" s="309"/>
      <c r="H198" s="309"/>
      <c r="I198" s="309"/>
      <c r="J198" s="309"/>
      <c r="K198" s="309"/>
      <c r="L198" s="309"/>
      <c r="M198" s="309"/>
      <c r="N198" s="309"/>
    </row>
    <row r="199" spans="6:14">
      <c r="F199" s="309"/>
      <c r="G199" s="309"/>
      <c r="H199" s="309"/>
      <c r="I199" s="309"/>
      <c r="J199" s="309"/>
      <c r="K199" s="309"/>
      <c r="L199" s="309"/>
      <c r="M199" s="309"/>
      <c r="N199" s="309"/>
    </row>
    <row r="200" spans="6:14">
      <c r="F200" s="309"/>
      <c r="G200" s="309"/>
      <c r="H200" s="309"/>
      <c r="I200" s="309"/>
      <c r="J200" s="309"/>
      <c r="K200" s="309"/>
      <c r="L200" s="309"/>
      <c r="M200" s="309"/>
      <c r="N200" s="309"/>
    </row>
    <row r="201" spans="6:14">
      <c r="F201" s="309"/>
      <c r="G201" s="309"/>
      <c r="H201" s="309"/>
      <c r="I201" s="309"/>
      <c r="J201" s="309"/>
      <c r="K201" s="309"/>
      <c r="L201" s="309"/>
      <c r="M201" s="309"/>
      <c r="N201" s="309"/>
    </row>
    <row r="202" spans="6:14">
      <c r="F202" s="309"/>
      <c r="G202" s="309"/>
      <c r="H202" s="309"/>
      <c r="I202" s="309"/>
      <c r="J202" s="309"/>
      <c r="K202" s="309"/>
      <c r="L202" s="309"/>
      <c r="M202" s="309"/>
      <c r="N202" s="309"/>
    </row>
    <row r="203" spans="6:14">
      <c r="F203" s="309"/>
      <c r="G203" s="309"/>
      <c r="H203" s="309"/>
      <c r="I203" s="309"/>
      <c r="J203" s="309"/>
      <c r="K203" s="309"/>
      <c r="L203" s="309"/>
      <c r="M203" s="309"/>
      <c r="N203" s="309"/>
    </row>
    <row r="204" spans="6:14">
      <c r="F204" s="309"/>
      <c r="G204" s="309"/>
      <c r="H204" s="309"/>
      <c r="I204" s="309"/>
      <c r="J204" s="309"/>
      <c r="K204" s="309"/>
      <c r="L204" s="309"/>
      <c r="M204" s="309"/>
      <c r="N204" s="309"/>
    </row>
    <row r="205" spans="6:14">
      <c r="F205" s="309"/>
      <c r="G205" s="309"/>
      <c r="H205" s="309"/>
      <c r="I205" s="309"/>
      <c r="J205" s="309"/>
      <c r="K205" s="309"/>
      <c r="L205" s="309"/>
      <c r="M205" s="309"/>
      <c r="N205" s="309"/>
    </row>
    <row r="206" spans="6:14">
      <c r="F206" s="309"/>
      <c r="G206" s="309"/>
      <c r="H206" s="309"/>
      <c r="I206" s="309"/>
      <c r="J206" s="309"/>
      <c r="K206" s="309"/>
      <c r="L206" s="309"/>
      <c r="M206" s="309"/>
      <c r="N206" s="309"/>
    </row>
    <row r="207" spans="6:14">
      <c r="F207" s="309"/>
      <c r="G207" s="309"/>
      <c r="H207" s="309"/>
      <c r="I207" s="309"/>
      <c r="J207" s="309"/>
      <c r="K207" s="309"/>
      <c r="L207" s="309"/>
      <c r="M207" s="309"/>
      <c r="N207" s="309"/>
    </row>
    <row r="208" spans="6:14">
      <c r="F208" s="309"/>
      <c r="G208" s="309"/>
      <c r="H208" s="309"/>
      <c r="I208" s="309"/>
      <c r="J208" s="309"/>
      <c r="K208" s="309"/>
      <c r="L208" s="309"/>
      <c r="M208" s="309"/>
      <c r="N208" s="309"/>
    </row>
    <row r="209" spans="6:14">
      <c r="F209" s="309"/>
      <c r="G209" s="309"/>
      <c r="H209" s="309"/>
      <c r="I209" s="309"/>
      <c r="J209" s="309"/>
      <c r="K209" s="309"/>
      <c r="L209" s="309"/>
      <c r="M209" s="309"/>
      <c r="N209" s="309"/>
    </row>
    <row r="210" spans="6:14">
      <c r="F210" s="309"/>
      <c r="G210" s="309"/>
      <c r="H210" s="309"/>
      <c r="I210" s="309"/>
      <c r="J210" s="309"/>
      <c r="K210" s="309"/>
      <c r="L210" s="309"/>
      <c r="M210" s="309"/>
      <c r="N210" s="309"/>
    </row>
    <row r="211" spans="6:14">
      <c r="F211" s="309"/>
      <c r="G211" s="309"/>
      <c r="H211" s="309"/>
      <c r="I211" s="309"/>
      <c r="J211" s="309"/>
      <c r="K211" s="309"/>
      <c r="L211" s="309"/>
      <c r="M211" s="309"/>
      <c r="N211" s="309"/>
    </row>
    <row r="212" spans="6:14">
      <c r="F212" s="309"/>
      <c r="G212" s="309"/>
      <c r="H212" s="309"/>
      <c r="I212" s="309"/>
      <c r="J212" s="309"/>
      <c r="K212" s="309"/>
      <c r="L212" s="309"/>
      <c r="M212" s="309"/>
      <c r="N212" s="309"/>
    </row>
    <row r="213" spans="6:14">
      <c r="F213" s="309"/>
      <c r="G213" s="309"/>
      <c r="H213" s="309"/>
      <c r="I213" s="309"/>
      <c r="J213" s="309"/>
      <c r="K213" s="309"/>
      <c r="L213" s="309"/>
      <c r="M213" s="309"/>
      <c r="N213" s="309"/>
    </row>
    <row r="214" spans="6:14">
      <c r="F214" s="309"/>
      <c r="G214" s="309"/>
      <c r="H214" s="309"/>
      <c r="I214" s="309"/>
      <c r="J214" s="309"/>
      <c r="K214" s="309"/>
      <c r="L214" s="309"/>
      <c r="M214" s="309"/>
      <c r="N214" s="309"/>
    </row>
    <row r="215" spans="6:14">
      <c r="F215" s="309"/>
      <c r="G215" s="309"/>
      <c r="H215" s="309"/>
      <c r="I215" s="309"/>
      <c r="J215" s="309"/>
      <c r="K215" s="309"/>
      <c r="L215" s="309"/>
      <c r="M215" s="309"/>
      <c r="N215" s="309"/>
    </row>
    <row r="216" spans="6:14">
      <c r="F216" s="309"/>
      <c r="G216" s="309"/>
      <c r="H216" s="309"/>
      <c r="I216" s="309"/>
      <c r="J216" s="309"/>
      <c r="K216" s="309"/>
      <c r="L216" s="309"/>
      <c r="M216" s="309"/>
      <c r="N216" s="309"/>
    </row>
    <row r="217" spans="6:14">
      <c r="F217" s="309"/>
      <c r="G217" s="309"/>
      <c r="H217" s="309"/>
      <c r="I217" s="309"/>
      <c r="J217" s="309"/>
      <c r="K217" s="309"/>
      <c r="L217" s="309"/>
      <c r="M217" s="309"/>
      <c r="N217" s="309"/>
    </row>
    <row r="218" spans="6:14">
      <c r="F218" s="309"/>
      <c r="G218" s="309"/>
      <c r="H218" s="309"/>
      <c r="I218" s="309"/>
      <c r="J218" s="309"/>
      <c r="K218" s="309"/>
      <c r="L218" s="309"/>
      <c r="M218" s="309"/>
      <c r="N218" s="309"/>
    </row>
    <row r="219" spans="6:14">
      <c r="F219" s="309"/>
      <c r="G219" s="309"/>
      <c r="H219" s="309"/>
      <c r="I219" s="309"/>
      <c r="J219" s="309"/>
      <c r="K219" s="309"/>
      <c r="L219" s="309"/>
      <c r="M219" s="309"/>
      <c r="N219" s="309"/>
    </row>
    <row r="220" spans="6:14">
      <c r="F220" s="309"/>
      <c r="G220" s="309"/>
      <c r="H220" s="309"/>
      <c r="I220" s="309"/>
      <c r="J220" s="309"/>
      <c r="K220" s="309"/>
      <c r="L220" s="309"/>
      <c r="M220" s="309"/>
      <c r="N220" s="309"/>
    </row>
    <row r="221" spans="6:14">
      <c r="F221" s="309"/>
      <c r="G221" s="309"/>
      <c r="H221" s="309"/>
      <c r="I221" s="309"/>
      <c r="J221" s="309"/>
      <c r="K221" s="309"/>
      <c r="L221" s="309"/>
      <c r="M221" s="309"/>
      <c r="N221" s="309"/>
    </row>
    <row r="222" spans="6:14">
      <c r="F222" s="309"/>
      <c r="G222" s="309"/>
      <c r="H222" s="309"/>
      <c r="I222" s="309"/>
      <c r="J222" s="309"/>
      <c r="K222" s="309"/>
      <c r="L222" s="309"/>
      <c r="M222" s="309"/>
      <c r="N222" s="309"/>
    </row>
    <row r="223" spans="6:14">
      <c r="F223" s="309"/>
      <c r="G223" s="309"/>
      <c r="H223" s="309"/>
      <c r="I223" s="309"/>
      <c r="J223" s="309"/>
      <c r="K223" s="309"/>
      <c r="L223" s="309"/>
      <c r="M223" s="309"/>
      <c r="N223" s="309"/>
    </row>
    <row r="224" spans="6:14">
      <c r="F224" s="309"/>
      <c r="G224" s="309"/>
      <c r="H224" s="309"/>
      <c r="I224" s="309"/>
      <c r="J224" s="309"/>
      <c r="K224" s="309"/>
      <c r="L224" s="309"/>
      <c r="M224" s="309"/>
      <c r="N224" s="309"/>
    </row>
    <row r="225" spans="6:14">
      <c r="F225" s="309"/>
      <c r="G225" s="309"/>
      <c r="H225" s="309"/>
      <c r="I225" s="309"/>
      <c r="J225" s="309"/>
      <c r="K225" s="309"/>
      <c r="L225" s="309"/>
      <c r="M225" s="309"/>
      <c r="N225" s="309"/>
    </row>
    <row r="226" spans="6:14">
      <c r="F226" s="309"/>
      <c r="G226" s="309"/>
      <c r="H226" s="309"/>
      <c r="I226" s="309"/>
      <c r="J226" s="309"/>
      <c r="K226" s="309"/>
      <c r="L226" s="309"/>
      <c r="M226" s="309"/>
      <c r="N226" s="309"/>
    </row>
    <row r="227" spans="6:14">
      <c r="F227" s="309"/>
      <c r="G227" s="309"/>
      <c r="H227" s="309"/>
      <c r="I227" s="309"/>
      <c r="J227" s="309"/>
      <c r="K227" s="309"/>
      <c r="L227" s="309"/>
      <c r="M227" s="309"/>
      <c r="N227" s="309"/>
    </row>
    <row r="228" spans="6:14">
      <c r="F228" s="309"/>
      <c r="G228" s="309"/>
      <c r="H228" s="309"/>
      <c r="I228" s="309"/>
      <c r="J228" s="309"/>
      <c r="K228" s="309"/>
      <c r="L228" s="309"/>
      <c r="M228" s="309"/>
      <c r="N228" s="309"/>
    </row>
    <row r="229" spans="6:14">
      <c r="F229" s="309"/>
      <c r="G229" s="309"/>
      <c r="H229" s="309"/>
      <c r="I229" s="309"/>
      <c r="J229" s="309"/>
      <c r="K229" s="309"/>
      <c r="L229" s="309"/>
      <c r="M229" s="309"/>
      <c r="N229" s="309"/>
    </row>
    <row r="230" spans="6:14">
      <c r="F230" s="309"/>
      <c r="G230" s="309"/>
      <c r="H230" s="309"/>
      <c r="I230" s="309"/>
      <c r="J230" s="309"/>
      <c r="K230" s="309"/>
      <c r="L230" s="309"/>
      <c r="M230" s="309"/>
      <c r="N230" s="309"/>
    </row>
    <row r="231" spans="6:14">
      <c r="F231" s="309"/>
      <c r="G231" s="309"/>
      <c r="H231" s="309"/>
      <c r="I231" s="309"/>
      <c r="J231" s="309"/>
      <c r="K231" s="309"/>
      <c r="L231" s="309"/>
      <c r="M231" s="309"/>
      <c r="N231" s="309"/>
    </row>
    <row r="232" spans="6:14">
      <c r="F232" s="309"/>
      <c r="G232" s="309"/>
      <c r="H232" s="309"/>
      <c r="I232" s="309"/>
      <c r="J232" s="309"/>
      <c r="K232" s="309"/>
      <c r="L232" s="309"/>
      <c r="M232" s="309"/>
      <c r="N232" s="309"/>
    </row>
    <row r="233" spans="6:14">
      <c r="F233" s="309"/>
      <c r="G233" s="309"/>
      <c r="H233" s="309"/>
      <c r="I233" s="309"/>
      <c r="J233" s="309"/>
      <c r="K233" s="309"/>
      <c r="L233" s="309"/>
      <c r="M233" s="309"/>
      <c r="N233" s="309"/>
    </row>
    <row r="234" spans="6:14">
      <c r="F234" s="309"/>
      <c r="G234" s="309"/>
      <c r="H234" s="309"/>
      <c r="I234" s="309"/>
      <c r="J234" s="309"/>
      <c r="K234" s="309"/>
      <c r="L234" s="309"/>
      <c r="M234" s="309"/>
      <c r="N234" s="309"/>
    </row>
    <row r="235" spans="6:14">
      <c r="F235" s="309"/>
      <c r="G235" s="309"/>
      <c r="H235" s="309"/>
      <c r="I235" s="309"/>
      <c r="J235" s="309"/>
      <c r="K235" s="309"/>
      <c r="L235" s="309"/>
      <c r="M235" s="309"/>
      <c r="N235" s="309"/>
    </row>
    <row r="236" spans="6:14">
      <c r="F236" s="309"/>
      <c r="G236" s="309"/>
      <c r="H236" s="309"/>
      <c r="I236" s="309"/>
      <c r="J236" s="309"/>
      <c r="K236" s="309"/>
      <c r="L236" s="309"/>
      <c r="M236" s="309"/>
      <c r="N236" s="309"/>
    </row>
    <row r="237" spans="6:14">
      <c r="F237" s="309"/>
      <c r="G237" s="309"/>
      <c r="H237" s="309"/>
      <c r="I237" s="309"/>
      <c r="J237" s="309"/>
      <c r="K237" s="309"/>
      <c r="L237" s="309"/>
      <c r="M237" s="309"/>
      <c r="N237" s="309"/>
    </row>
    <row r="238" spans="6:14">
      <c r="F238" s="309"/>
      <c r="G238" s="309"/>
      <c r="H238" s="309"/>
      <c r="I238" s="309"/>
      <c r="J238" s="309"/>
      <c r="K238" s="309"/>
      <c r="L238" s="309"/>
      <c r="M238" s="309"/>
      <c r="N238" s="309"/>
    </row>
    <row r="239" spans="6:14">
      <c r="F239" s="309"/>
      <c r="G239" s="309"/>
      <c r="H239" s="309"/>
      <c r="I239" s="309"/>
      <c r="J239" s="309"/>
      <c r="K239" s="309"/>
      <c r="L239" s="309"/>
      <c r="M239" s="309"/>
      <c r="N239" s="309"/>
    </row>
    <row r="240" spans="6:14">
      <c r="F240" s="309"/>
      <c r="G240" s="309"/>
      <c r="H240" s="309"/>
      <c r="I240" s="309"/>
      <c r="J240" s="309"/>
      <c r="K240" s="309"/>
      <c r="L240" s="309"/>
      <c r="M240" s="309"/>
      <c r="N240" s="309"/>
    </row>
    <row r="241" spans="6:14">
      <c r="F241" s="309"/>
      <c r="G241" s="309"/>
      <c r="H241" s="309"/>
      <c r="I241" s="309"/>
      <c r="J241" s="309"/>
      <c r="K241" s="309"/>
      <c r="L241" s="309"/>
      <c r="M241" s="309"/>
      <c r="N241" s="309"/>
    </row>
    <row r="242" spans="6:14">
      <c r="F242" s="309"/>
      <c r="G242" s="309"/>
      <c r="H242" s="309"/>
      <c r="I242" s="309"/>
      <c r="J242" s="309"/>
      <c r="K242" s="309"/>
      <c r="L242" s="309"/>
      <c r="M242" s="309"/>
      <c r="N242" s="309"/>
    </row>
    <row r="243" spans="6:14">
      <c r="F243" s="309"/>
      <c r="G243" s="309"/>
      <c r="H243" s="309"/>
      <c r="I243" s="309"/>
      <c r="J243" s="309"/>
      <c r="K243" s="309"/>
      <c r="L243" s="309"/>
      <c r="M243" s="309"/>
      <c r="N243" s="309"/>
    </row>
    <row r="244" spans="6:14">
      <c r="F244" s="309"/>
      <c r="G244" s="309"/>
      <c r="H244" s="309"/>
      <c r="I244" s="309"/>
      <c r="J244" s="309"/>
      <c r="K244" s="309"/>
      <c r="L244" s="309"/>
      <c r="M244" s="309"/>
      <c r="N244" s="309"/>
    </row>
    <row r="245" spans="6:14">
      <c r="F245" s="309"/>
      <c r="G245" s="309"/>
      <c r="H245" s="309"/>
      <c r="I245" s="309"/>
      <c r="J245" s="309"/>
      <c r="K245" s="309"/>
      <c r="L245" s="309"/>
      <c r="M245" s="309"/>
      <c r="N245" s="309"/>
    </row>
    <row r="246" spans="6:14">
      <c r="F246" s="309"/>
      <c r="G246" s="309"/>
      <c r="H246" s="309"/>
      <c r="I246" s="309"/>
      <c r="J246" s="309"/>
      <c r="K246" s="309"/>
      <c r="L246" s="309"/>
      <c r="M246" s="309"/>
      <c r="N246" s="309"/>
    </row>
    <row r="247" spans="6:14">
      <c r="F247" s="309"/>
      <c r="G247" s="309"/>
      <c r="H247" s="309"/>
      <c r="I247" s="309"/>
      <c r="J247" s="309"/>
      <c r="K247" s="309"/>
      <c r="L247" s="309"/>
      <c r="M247" s="309"/>
      <c r="N247" s="309"/>
    </row>
    <row r="248" spans="6:14">
      <c r="F248" s="309"/>
      <c r="G248" s="309"/>
      <c r="H248" s="309"/>
      <c r="I248" s="309"/>
      <c r="J248" s="309"/>
      <c r="K248" s="309"/>
      <c r="L248" s="309"/>
      <c r="M248" s="309"/>
      <c r="N248" s="309"/>
    </row>
    <row r="249" spans="6:14">
      <c r="F249" s="309"/>
      <c r="G249" s="309"/>
      <c r="H249" s="309"/>
      <c r="I249" s="309"/>
      <c r="J249" s="309"/>
      <c r="K249" s="309"/>
      <c r="L249" s="309"/>
      <c r="M249" s="309"/>
      <c r="N249" s="309"/>
    </row>
    <row r="250" spans="6:14">
      <c r="F250" s="309"/>
      <c r="G250" s="309"/>
      <c r="H250" s="309"/>
      <c r="I250" s="309"/>
      <c r="J250" s="309"/>
      <c r="K250" s="309"/>
      <c r="L250" s="309"/>
      <c r="M250" s="309"/>
      <c r="N250" s="309"/>
    </row>
    <row r="251" spans="6:14">
      <c r="F251" s="309"/>
      <c r="G251" s="309"/>
      <c r="H251" s="309"/>
      <c r="I251" s="309"/>
      <c r="J251" s="309"/>
      <c r="K251" s="309"/>
      <c r="L251" s="309"/>
      <c r="M251" s="309"/>
      <c r="N251" s="309"/>
    </row>
    <row r="252" spans="6:14">
      <c r="F252" s="309"/>
      <c r="G252" s="309"/>
      <c r="H252" s="309"/>
      <c r="I252" s="309"/>
      <c r="J252" s="309"/>
      <c r="K252" s="309"/>
      <c r="L252" s="309"/>
      <c r="M252" s="309"/>
      <c r="N252" s="309"/>
    </row>
    <row r="253" spans="6:14">
      <c r="F253" s="309"/>
      <c r="G253" s="309"/>
      <c r="H253" s="309"/>
      <c r="I253" s="309"/>
      <c r="J253" s="309"/>
      <c r="K253" s="309"/>
      <c r="L253" s="309"/>
      <c r="M253" s="309"/>
      <c r="N253" s="309"/>
    </row>
    <row r="254" spans="6:14">
      <c r="F254" s="309"/>
      <c r="G254" s="309"/>
      <c r="H254" s="309"/>
      <c r="I254" s="309"/>
      <c r="J254" s="309"/>
      <c r="K254" s="309"/>
      <c r="L254" s="309"/>
      <c r="M254" s="309"/>
      <c r="N254" s="309"/>
    </row>
    <row r="255" spans="6:14">
      <c r="F255" s="309"/>
      <c r="G255" s="309"/>
      <c r="H255" s="309"/>
      <c r="I255" s="309"/>
      <c r="J255" s="309"/>
      <c r="K255" s="309"/>
      <c r="L255" s="309"/>
      <c r="M255" s="309"/>
      <c r="N255" s="309"/>
    </row>
    <row r="256" spans="6:14">
      <c r="F256" s="309"/>
      <c r="G256" s="309"/>
      <c r="H256" s="309"/>
      <c r="I256" s="309"/>
      <c r="J256" s="309"/>
      <c r="K256" s="309"/>
      <c r="L256" s="309"/>
      <c r="M256" s="309"/>
      <c r="N256" s="309"/>
    </row>
    <row r="257" spans="6:14">
      <c r="F257" s="309"/>
      <c r="G257" s="309"/>
      <c r="H257" s="309"/>
      <c r="I257" s="309"/>
      <c r="J257" s="309"/>
      <c r="K257" s="309"/>
      <c r="L257" s="309"/>
      <c r="M257" s="309"/>
      <c r="N257" s="309"/>
    </row>
    <row r="258" spans="6:14">
      <c r="F258" s="309"/>
      <c r="G258" s="309"/>
      <c r="H258" s="309"/>
      <c r="I258" s="309"/>
      <c r="J258" s="309"/>
      <c r="K258" s="309"/>
      <c r="L258" s="309"/>
      <c r="M258" s="309"/>
      <c r="N258" s="309"/>
    </row>
    <row r="259" spans="6:14">
      <c r="F259" s="309"/>
      <c r="G259" s="309"/>
      <c r="H259" s="309"/>
      <c r="I259" s="309"/>
      <c r="J259" s="309"/>
      <c r="K259" s="309"/>
      <c r="L259" s="309"/>
      <c r="M259" s="309"/>
      <c r="N259" s="309"/>
    </row>
    <row r="260" spans="6:14">
      <c r="F260" s="309"/>
      <c r="G260" s="309"/>
      <c r="H260" s="309"/>
      <c r="I260" s="309"/>
      <c r="J260" s="309"/>
      <c r="K260" s="309"/>
      <c r="L260" s="309"/>
      <c r="M260" s="309"/>
      <c r="N260" s="309"/>
    </row>
    <row r="261" spans="6:14">
      <c r="F261" s="309"/>
      <c r="G261" s="309"/>
      <c r="H261" s="309"/>
      <c r="I261" s="309"/>
      <c r="J261" s="309"/>
      <c r="K261" s="309"/>
      <c r="L261" s="309"/>
      <c r="M261" s="309"/>
      <c r="N261" s="309"/>
    </row>
    <row r="262" spans="6:14">
      <c r="F262" s="309"/>
      <c r="G262" s="309"/>
      <c r="H262" s="309"/>
      <c r="I262" s="309"/>
      <c r="J262" s="309"/>
      <c r="K262" s="309"/>
      <c r="L262" s="309"/>
      <c r="M262" s="309"/>
      <c r="N262" s="309"/>
    </row>
    <row r="263" spans="6:14">
      <c r="F263" s="309"/>
      <c r="G263" s="309"/>
      <c r="H263" s="309"/>
      <c r="I263" s="309"/>
      <c r="J263" s="309"/>
      <c r="K263" s="309"/>
      <c r="L263" s="309"/>
      <c r="M263" s="309"/>
      <c r="N263" s="309"/>
    </row>
    <row r="264" spans="6:14">
      <c r="F264" s="309"/>
      <c r="G264" s="309"/>
      <c r="H264" s="309"/>
      <c r="I264" s="309"/>
      <c r="J264" s="309"/>
      <c r="K264" s="309"/>
      <c r="L264" s="309"/>
      <c r="M264" s="309"/>
      <c r="N264" s="309"/>
    </row>
    <row r="265" spans="6:14">
      <c r="F265" s="309"/>
      <c r="G265" s="309"/>
      <c r="H265" s="309"/>
      <c r="I265" s="309"/>
      <c r="J265" s="309"/>
      <c r="K265" s="309"/>
      <c r="L265" s="309"/>
      <c r="M265" s="309"/>
      <c r="N265" s="309"/>
    </row>
    <row r="266" spans="6:14">
      <c r="F266" s="309"/>
      <c r="G266" s="309"/>
      <c r="H266" s="309"/>
      <c r="I266" s="309"/>
      <c r="J266" s="309"/>
      <c r="K266" s="309"/>
      <c r="L266" s="309"/>
      <c r="M266" s="309"/>
      <c r="N266" s="309"/>
    </row>
    <row r="267" spans="6:14">
      <c r="F267" s="309"/>
      <c r="G267" s="309"/>
      <c r="H267" s="309"/>
      <c r="I267" s="309"/>
      <c r="J267" s="309"/>
      <c r="K267" s="309"/>
      <c r="L267" s="309"/>
      <c r="M267" s="309"/>
      <c r="N267" s="309"/>
    </row>
    <row r="268" spans="6:14">
      <c r="F268" s="309"/>
      <c r="G268" s="309"/>
      <c r="H268" s="309"/>
      <c r="I268" s="309"/>
      <c r="J268" s="309"/>
      <c r="K268" s="309"/>
      <c r="L268" s="309"/>
      <c r="M268" s="309"/>
      <c r="N268" s="309"/>
    </row>
    <row r="269" spans="6:14">
      <c r="F269" s="309"/>
      <c r="G269" s="309"/>
      <c r="H269" s="309"/>
      <c r="I269" s="309"/>
      <c r="J269" s="309"/>
      <c r="K269" s="309"/>
      <c r="L269" s="309"/>
      <c r="M269" s="309"/>
      <c r="N269" s="309"/>
    </row>
    <row r="270" spans="6:14">
      <c r="F270" s="309"/>
      <c r="G270" s="309"/>
      <c r="H270" s="309"/>
      <c r="I270" s="309"/>
      <c r="J270" s="309"/>
      <c r="K270" s="309"/>
      <c r="L270" s="309"/>
      <c r="M270" s="309"/>
      <c r="N270" s="309"/>
    </row>
    <row r="271" spans="6:14">
      <c r="F271" s="309"/>
      <c r="G271" s="309"/>
      <c r="H271" s="309"/>
      <c r="I271" s="309"/>
      <c r="J271" s="309"/>
      <c r="K271" s="309"/>
      <c r="L271" s="309"/>
      <c r="M271" s="309"/>
      <c r="N271" s="309"/>
    </row>
    <row r="272" spans="6:14">
      <c r="F272" s="309"/>
      <c r="G272" s="309"/>
      <c r="H272" s="309"/>
      <c r="I272" s="309"/>
      <c r="J272" s="309"/>
      <c r="K272" s="309"/>
      <c r="L272" s="309"/>
      <c r="M272" s="309"/>
      <c r="N272" s="309"/>
    </row>
    <row r="273" spans="6:14">
      <c r="F273" s="309"/>
      <c r="G273" s="309"/>
      <c r="H273" s="309"/>
      <c r="I273" s="309"/>
      <c r="J273" s="309"/>
      <c r="K273" s="309"/>
      <c r="L273" s="309"/>
      <c r="M273" s="309"/>
      <c r="N273" s="309"/>
    </row>
    <row r="274" spans="6:14">
      <c r="F274" s="309"/>
      <c r="G274" s="309"/>
      <c r="H274" s="309"/>
      <c r="I274" s="309"/>
      <c r="J274" s="309"/>
      <c r="K274" s="309"/>
      <c r="L274" s="309"/>
      <c r="M274" s="309"/>
      <c r="N274" s="309"/>
    </row>
    <row r="275" spans="6:14">
      <c r="F275" s="309"/>
      <c r="G275" s="309"/>
      <c r="H275" s="309"/>
      <c r="I275" s="309"/>
      <c r="J275" s="309"/>
      <c r="K275" s="309"/>
      <c r="L275" s="309"/>
      <c r="M275" s="309"/>
      <c r="N275" s="309"/>
    </row>
    <row r="276" spans="6:14">
      <c r="F276" s="309"/>
      <c r="G276" s="309"/>
      <c r="H276" s="309"/>
      <c r="I276" s="309"/>
      <c r="J276" s="309"/>
      <c r="K276" s="309"/>
      <c r="L276" s="309"/>
      <c r="M276" s="309"/>
      <c r="N276" s="309"/>
    </row>
    <row r="277" spans="6:14">
      <c r="F277" s="309"/>
      <c r="G277" s="309"/>
      <c r="H277" s="309"/>
      <c r="I277" s="309"/>
      <c r="J277" s="309"/>
      <c r="K277" s="309"/>
      <c r="L277" s="309"/>
      <c r="M277" s="309"/>
      <c r="N277" s="309"/>
    </row>
    <row r="278" spans="6:14">
      <c r="F278" s="309"/>
      <c r="G278" s="309"/>
      <c r="H278" s="309"/>
      <c r="I278" s="309"/>
      <c r="J278" s="309"/>
      <c r="K278" s="309"/>
      <c r="L278" s="309"/>
      <c r="M278" s="309"/>
      <c r="N278" s="309"/>
    </row>
    <row r="279" spans="6:14">
      <c r="F279" s="309"/>
      <c r="G279" s="309"/>
      <c r="H279" s="309"/>
      <c r="I279" s="309"/>
      <c r="J279" s="309"/>
      <c r="K279" s="309"/>
      <c r="L279" s="309"/>
      <c r="M279" s="309"/>
      <c r="N279" s="309"/>
    </row>
    <row r="280" spans="6:14">
      <c r="F280" s="309"/>
      <c r="G280" s="309"/>
      <c r="H280" s="309"/>
      <c r="I280" s="309"/>
      <c r="J280" s="309"/>
      <c r="K280" s="309"/>
      <c r="L280" s="309"/>
      <c r="M280" s="309"/>
      <c r="N280" s="309"/>
    </row>
    <row r="281" spans="6:14">
      <c r="F281" s="309"/>
      <c r="G281" s="309"/>
      <c r="H281" s="309"/>
      <c r="I281" s="309"/>
      <c r="J281" s="309"/>
      <c r="K281" s="309"/>
      <c r="L281" s="309"/>
      <c r="M281" s="309"/>
      <c r="N281" s="309"/>
    </row>
    <row r="282" spans="6:14">
      <c r="F282" s="309"/>
      <c r="G282" s="309"/>
      <c r="H282" s="309"/>
      <c r="I282" s="309"/>
      <c r="J282" s="309"/>
      <c r="K282" s="309"/>
      <c r="L282" s="309"/>
      <c r="M282" s="309"/>
      <c r="N282" s="309"/>
    </row>
    <row r="283" spans="6:14">
      <c r="F283" s="309"/>
      <c r="G283" s="309"/>
      <c r="H283" s="309"/>
      <c r="I283" s="309"/>
      <c r="J283" s="309"/>
      <c r="K283" s="309"/>
      <c r="L283" s="309"/>
      <c r="M283" s="309"/>
      <c r="N283" s="309"/>
    </row>
    <row r="284" spans="6:14">
      <c r="F284" s="309"/>
      <c r="G284" s="309"/>
      <c r="H284" s="309"/>
      <c r="I284" s="309"/>
      <c r="J284" s="309"/>
      <c r="K284" s="309"/>
      <c r="L284" s="309"/>
      <c r="M284" s="309"/>
      <c r="N284" s="309"/>
    </row>
    <row r="285" spans="6:14">
      <c r="F285" s="309"/>
      <c r="G285" s="309"/>
      <c r="H285" s="309"/>
      <c r="I285" s="309"/>
      <c r="J285" s="309"/>
      <c r="K285" s="309"/>
      <c r="L285" s="309"/>
      <c r="M285" s="309"/>
      <c r="N285" s="309"/>
    </row>
    <row r="286" spans="6:14">
      <c r="F286" s="309"/>
      <c r="G286" s="309"/>
      <c r="H286" s="309"/>
      <c r="I286" s="309"/>
      <c r="J286" s="309"/>
      <c r="K286" s="309"/>
      <c r="L286" s="309"/>
      <c r="M286" s="309"/>
      <c r="N286" s="309"/>
    </row>
    <row r="287" spans="6:14">
      <c r="F287" s="309"/>
      <c r="G287" s="309"/>
      <c r="H287" s="309"/>
      <c r="I287" s="309"/>
      <c r="J287" s="309"/>
      <c r="K287" s="309"/>
      <c r="L287" s="309"/>
      <c r="M287" s="309"/>
      <c r="N287" s="309"/>
    </row>
    <row r="288" spans="6:14">
      <c r="F288" s="309"/>
      <c r="G288" s="309"/>
      <c r="H288" s="309"/>
      <c r="I288" s="309"/>
      <c r="J288" s="309"/>
      <c r="K288" s="309"/>
      <c r="L288" s="309"/>
      <c r="M288" s="309"/>
      <c r="N288" s="309"/>
    </row>
    <row r="289" spans="6:14">
      <c r="F289" s="309"/>
      <c r="G289" s="309"/>
      <c r="H289" s="309"/>
      <c r="I289" s="309"/>
      <c r="J289" s="309"/>
      <c r="K289" s="309"/>
      <c r="L289" s="309"/>
      <c r="M289" s="309"/>
      <c r="N289" s="309"/>
    </row>
    <row r="290" spans="6:14">
      <c r="F290" s="309"/>
      <c r="G290" s="309"/>
      <c r="H290" s="309"/>
      <c r="I290" s="309"/>
      <c r="J290" s="309"/>
      <c r="K290" s="309"/>
      <c r="L290" s="309"/>
      <c r="M290" s="309"/>
      <c r="N290" s="309"/>
    </row>
    <row r="291" spans="6:14">
      <c r="F291" s="309"/>
      <c r="G291" s="309"/>
      <c r="H291" s="309"/>
      <c r="I291" s="309"/>
      <c r="J291" s="309"/>
      <c r="K291" s="309"/>
      <c r="L291" s="309"/>
      <c r="M291" s="309"/>
      <c r="N291" s="309"/>
    </row>
    <row r="292" spans="6:14">
      <c r="F292" s="309"/>
      <c r="G292" s="309"/>
      <c r="H292" s="309"/>
      <c r="I292" s="309"/>
      <c r="J292" s="309"/>
      <c r="K292" s="309"/>
      <c r="L292" s="309"/>
      <c r="M292" s="309"/>
      <c r="N292" s="309"/>
    </row>
    <row r="293" spans="6:14">
      <c r="F293" s="309"/>
      <c r="G293" s="309"/>
      <c r="H293" s="309"/>
      <c r="I293" s="309"/>
      <c r="J293" s="309"/>
      <c r="K293" s="309"/>
      <c r="L293" s="309"/>
      <c r="M293" s="309"/>
      <c r="N293" s="309"/>
    </row>
    <row r="294" spans="6:14">
      <c r="F294" s="309"/>
      <c r="G294" s="309"/>
      <c r="H294" s="309"/>
      <c r="I294" s="309"/>
      <c r="J294" s="309"/>
      <c r="K294" s="309"/>
      <c r="L294" s="309"/>
      <c r="M294" s="309"/>
      <c r="N294" s="309"/>
    </row>
    <row r="295" spans="6:14">
      <c r="F295" s="309"/>
      <c r="G295" s="309"/>
      <c r="H295" s="309"/>
      <c r="I295" s="309"/>
      <c r="J295" s="309"/>
      <c r="K295" s="309"/>
      <c r="L295" s="309"/>
      <c r="M295" s="309"/>
      <c r="N295" s="309"/>
    </row>
    <row r="296" spans="6:14">
      <c r="F296" s="309"/>
      <c r="G296" s="309"/>
      <c r="H296" s="309"/>
      <c r="I296" s="309"/>
      <c r="J296" s="309"/>
      <c r="K296" s="309"/>
      <c r="L296" s="309"/>
      <c r="M296" s="309"/>
      <c r="N296" s="309"/>
    </row>
    <row r="297" spans="6:14">
      <c r="F297" s="309"/>
      <c r="G297" s="309"/>
      <c r="H297" s="309"/>
      <c r="I297" s="309"/>
      <c r="J297" s="309"/>
      <c r="K297" s="309"/>
      <c r="L297" s="309"/>
      <c r="M297" s="309"/>
      <c r="N297" s="309"/>
    </row>
    <row r="298" spans="6:14">
      <c r="F298" s="309"/>
      <c r="G298" s="309"/>
      <c r="H298" s="309"/>
      <c r="I298" s="309"/>
      <c r="J298" s="309"/>
      <c r="K298" s="309"/>
      <c r="L298" s="309"/>
      <c r="M298" s="309"/>
      <c r="N298" s="309"/>
    </row>
    <row r="299" spans="6:14">
      <c r="F299" s="309"/>
      <c r="G299" s="309"/>
      <c r="H299" s="309"/>
      <c r="I299" s="309"/>
      <c r="J299" s="309"/>
      <c r="K299" s="309"/>
      <c r="L299" s="309"/>
      <c r="M299" s="309"/>
      <c r="N299" s="309"/>
    </row>
    <row r="300" spans="6:14">
      <c r="F300" s="309"/>
      <c r="G300" s="309"/>
      <c r="H300" s="309"/>
      <c r="I300" s="309"/>
      <c r="J300" s="309"/>
      <c r="K300" s="309"/>
      <c r="L300" s="309"/>
      <c r="M300" s="309"/>
      <c r="N300" s="309"/>
    </row>
    <row r="301" spans="6:14">
      <c r="F301" s="309"/>
      <c r="G301" s="309"/>
      <c r="H301" s="309"/>
      <c r="I301" s="309"/>
      <c r="J301" s="309"/>
      <c r="K301" s="309"/>
      <c r="L301" s="309"/>
      <c r="M301" s="309"/>
      <c r="N301" s="309"/>
    </row>
    <row r="302" spans="6:14">
      <c r="F302" s="309"/>
      <c r="G302" s="309"/>
      <c r="H302" s="309"/>
      <c r="I302" s="309"/>
      <c r="J302" s="309"/>
      <c r="K302" s="309"/>
      <c r="L302" s="309"/>
      <c r="M302" s="309"/>
      <c r="N302" s="309"/>
    </row>
    <row r="303" spans="6:14">
      <c r="F303" s="309"/>
      <c r="G303" s="309"/>
      <c r="H303" s="309"/>
      <c r="I303" s="309"/>
      <c r="J303" s="309"/>
      <c r="K303" s="309"/>
      <c r="L303" s="309"/>
      <c r="M303" s="309"/>
      <c r="N303" s="309"/>
    </row>
    <row r="304" spans="6:14">
      <c r="F304" s="309"/>
      <c r="G304" s="309"/>
      <c r="H304" s="309"/>
      <c r="I304" s="309"/>
      <c r="J304" s="309"/>
      <c r="K304" s="309"/>
      <c r="L304" s="309"/>
      <c r="M304" s="309"/>
      <c r="N304" s="309"/>
    </row>
    <row r="305" spans="6:14">
      <c r="F305" s="309"/>
      <c r="G305" s="309"/>
      <c r="H305" s="309"/>
      <c r="I305" s="309"/>
      <c r="J305" s="309"/>
      <c r="K305" s="309"/>
      <c r="L305" s="309"/>
      <c r="M305" s="309"/>
      <c r="N305" s="309"/>
    </row>
    <row r="306" spans="6:14">
      <c r="F306" s="309"/>
      <c r="G306" s="309"/>
      <c r="H306" s="309"/>
      <c r="I306" s="309"/>
      <c r="J306" s="309"/>
      <c r="K306" s="309"/>
      <c r="L306" s="309"/>
      <c r="M306" s="309"/>
      <c r="N306" s="309"/>
    </row>
    <row r="307" spans="6:14">
      <c r="F307" s="309"/>
      <c r="G307" s="309"/>
      <c r="H307" s="309"/>
      <c r="I307" s="309"/>
      <c r="J307" s="309"/>
      <c r="K307" s="309"/>
      <c r="L307" s="309"/>
      <c r="M307" s="309"/>
      <c r="N307" s="309"/>
    </row>
    <row r="308" spans="6:14">
      <c r="F308" s="309"/>
      <c r="G308" s="309"/>
      <c r="H308" s="309"/>
      <c r="I308" s="309"/>
      <c r="J308" s="309"/>
      <c r="K308" s="309"/>
      <c r="L308" s="309"/>
      <c r="M308" s="309"/>
      <c r="N308" s="309"/>
    </row>
    <row r="309" spans="6:14">
      <c r="F309" s="309"/>
      <c r="G309" s="309"/>
      <c r="H309" s="309"/>
      <c r="I309" s="309"/>
      <c r="J309" s="309"/>
      <c r="K309" s="309"/>
      <c r="L309" s="309"/>
      <c r="M309" s="309"/>
      <c r="N309" s="309"/>
    </row>
    <row r="310" spans="6:14">
      <c r="F310" s="309"/>
      <c r="G310" s="309"/>
      <c r="H310" s="309"/>
      <c r="I310" s="309"/>
      <c r="J310" s="309"/>
      <c r="K310" s="309"/>
      <c r="L310" s="309"/>
      <c r="M310" s="309"/>
      <c r="N310" s="309"/>
    </row>
    <row r="311" spans="6:14">
      <c r="F311" s="309"/>
      <c r="G311" s="309"/>
      <c r="H311" s="309"/>
      <c r="I311" s="309"/>
      <c r="J311" s="309"/>
      <c r="K311" s="309"/>
      <c r="L311" s="309"/>
      <c r="M311" s="309"/>
      <c r="N311" s="309"/>
    </row>
    <row r="312" spans="6:14">
      <c r="F312" s="309"/>
      <c r="G312" s="309"/>
      <c r="H312" s="309"/>
      <c r="I312" s="309"/>
      <c r="J312" s="309"/>
      <c r="K312" s="309"/>
      <c r="L312" s="309"/>
      <c r="M312" s="309"/>
      <c r="N312" s="309"/>
    </row>
    <row r="313" spans="6:14">
      <c r="F313" s="309"/>
      <c r="G313" s="309"/>
      <c r="H313" s="309"/>
      <c r="I313" s="309"/>
      <c r="J313" s="309"/>
      <c r="K313" s="309"/>
      <c r="L313" s="309"/>
      <c r="M313" s="309"/>
      <c r="N313" s="309"/>
    </row>
    <row r="314" spans="6:14">
      <c r="F314" s="309"/>
      <c r="G314" s="309"/>
      <c r="H314" s="309"/>
      <c r="I314" s="309"/>
      <c r="J314" s="309"/>
      <c r="K314" s="309"/>
      <c r="L314" s="309"/>
      <c r="M314" s="309"/>
      <c r="N314" s="309"/>
    </row>
    <row r="315" spans="6:14">
      <c r="F315" s="309"/>
      <c r="G315" s="309"/>
      <c r="H315" s="309"/>
      <c r="I315" s="309"/>
      <c r="J315" s="309"/>
      <c r="K315" s="309"/>
      <c r="L315" s="309"/>
      <c r="M315" s="309"/>
      <c r="N315" s="309"/>
    </row>
    <row r="316" spans="6:14">
      <c r="F316" s="309"/>
      <c r="G316" s="309"/>
      <c r="H316" s="309"/>
      <c r="I316" s="309"/>
      <c r="J316" s="309"/>
      <c r="K316" s="309"/>
      <c r="L316" s="309"/>
      <c r="M316" s="309"/>
      <c r="N316" s="309"/>
    </row>
    <row r="317" spans="6:14">
      <c r="F317" s="309"/>
      <c r="G317" s="309"/>
      <c r="H317" s="309"/>
      <c r="I317" s="309"/>
      <c r="J317" s="309"/>
      <c r="K317" s="309"/>
      <c r="L317" s="309"/>
      <c r="M317" s="309"/>
      <c r="N317" s="309"/>
    </row>
    <row r="318" spans="6:14">
      <c r="F318" s="309"/>
      <c r="G318" s="309"/>
      <c r="H318" s="309"/>
      <c r="I318" s="309"/>
      <c r="J318" s="309"/>
      <c r="K318" s="309"/>
      <c r="L318" s="309"/>
      <c r="M318" s="309"/>
      <c r="N318" s="309"/>
    </row>
    <row r="319" spans="6:14">
      <c r="F319" s="309"/>
      <c r="G319" s="309"/>
      <c r="H319" s="309"/>
      <c r="I319" s="309"/>
      <c r="J319" s="309"/>
      <c r="K319" s="309"/>
      <c r="L319" s="309"/>
      <c r="M319" s="309"/>
      <c r="N319" s="309"/>
    </row>
    <row r="320" spans="6:14">
      <c r="F320" s="309"/>
      <c r="G320" s="309"/>
      <c r="H320" s="309"/>
      <c r="I320" s="309"/>
      <c r="J320" s="309"/>
      <c r="K320" s="309"/>
      <c r="L320" s="309"/>
      <c r="M320" s="309"/>
      <c r="N320" s="309"/>
    </row>
    <row r="321" spans="6:14">
      <c r="F321" s="309"/>
      <c r="G321" s="309"/>
      <c r="H321" s="309"/>
      <c r="I321" s="309"/>
      <c r="J321" s="309"/>
      <c r="K321" s="309"/>
      <c r="L321" s="309"/>
      <c r="M321" s="309"/>
      <c r="N321" s="309"/>
    </row>
    <row r="322" spans="6:14">
      <c r="F322" s="309"/>
      <c r="G322" s="309"/>
      <c r="H322" s="309"/>
      <c r="I322" s="309"/>
      <c r="J322" s="309"/>
      <c r="K322" s="309"/>
      <c r="L322" s="309"/>
      <c r="M322" s="309"/>
      <c r="N322" s="309"/>
    </row>
    <row r="323" spans="6:14">
      <c r="F323" s="309"/>
      <c r="G323" s="309"/>
      <c r="H323" s="309"/>
      <c r="I323" s="309"/>
      <c r="J323" s="309"/>
      <c r="K323" s="309"/>
      <c r="L323" s="309"/>
      <c r="M323" s="309"/>
      <c r="N323" s="309"/>
    </row>
    <row r="324" spans="6:14">
      <c r="F324" s="309"/>
      <c r="G324" s="309"/>
      <c r="H324" s="309"/>
      <c r="I324" s="309"/>
      <c r="J324" s="309"/>
      <c r="K324" s="309"/>
      <c r="L324" s="309"/>
      <c r="M324" s="309"/>
      <c r="N324" s="309"/>
    </row>
    <row r="325" spans="6:14">
      <c r="F325" s="309"/>
      <c r="G325" s="309"/>
      <c r="H325" s="309"/>
      <c r="I325" s="309"/>
      <c r="J325" s="309"/>
      <c r="K325" s="309"/>
      <c r="L325" s="309"/>
      <c r="M325" s="309"/>
      <c r="N325" s="309"/>
    </row>
    <row r="326" spans="6:14">
      <c r="F326" s="309"/>
      <c r="G326" s="309"/>
      <c r="H326" s="309"/>
      <c r="I326" s="309"/>
      <c r="J326" s="309"/>
      <c r="K326" s="309"/>
      <c r="L326" s="309"/>
      <c r="M326" s="309"/>
      <c r="N326" s="309"/>
    </row>
    <row r="327" spans="6:14">
      <c r="F327" s="309"/>
      <c r="G327" s="309"/>
      <c r="H327" s="309"/>
      <c r="I327" s="309"/>
      <c r="J327" s="309"/>
      <c r="K327" s="309"/>
      <c r="L327" s="309"/>
      <c r="M327" s="309"/>
      <c r="N327" s="309"/>
    </row>
    <row r="328" spans="6:14">
      <c r="F328" s="309"/>
      <c r="G328" s="309"/>
      <c r="H328" s="309"/>
      <c r="I328" s="309"/>
      <c r="J328" s="309"/>
      <c r="K328" s="309"/>
      <c r="L328" s="309"/>
      <c r="M328" s="309"/>
      <c r="N328" s="309"/>
    </row>
    <row r="329" spans="6:14">
      <c r="F329" s="309"/>
      <c r="G329" s="309"/>
      <c r="H329" s="309"/>
      <c r="I329" s="309"/>
      <c r="J329" s="309"/>
      <c r="K329" s="309"/>
      <c r="L329" s="309"/>
      <c r="M329" s="309"/>
      <c r="N329" s="309"/>
    </row>
    <row r="330" spans="6:14">
      <c r="F330" s="309"/>
      <c r="G330" s="309"/>
      <c r="H330" s="309"/>
      <c r="I330" s="309"/>
      <c r="J330" s="309"/>
      <c r="K330" s="309"/>
      <c r="L330" s="309"/>
      <c r="M330" s="309"/>
      <c r="N330" s="309"/>
    </row>
    <row r="331" spans="6:14">
      <c r="F331" s="309"/>
      <c r="G331" s="309"/>
      <c r="H331" s="309"/>
      <c r="I331" s="309"/>
      <c r="J331" s="309"/>
      <c r="K331" s="309"/>
      <c r="L331" s="309"/>
      <c r="M331" s="309"/>
      <c r="N331" s="309"/>
    </row>
    <row r="332" spans="6:14">
      <c r="F332" s="309"/>
      <c r="G332" s="309"/>
      <c r="H332" s="309"/>
      <c r="I332" s="309"/>
      <c r="J332" s="309"/>
      <c r="K332" s="309"/>
      <c r="L332" s="309"/>
      <c r="M332" s="309"/>
      <c r="N332" s="309"/>
    </row>
    <row r="333" spans="6:14">
      <c r="F333" s="309"/>
      <c r="G333" s="309"/>
      <c r="H333" s="309"/>
      <c r="I333" s="309"/>
      <c r="J333" s="309"/>
      <c r="K333" s="309"/>
      <c r="L333" s="309"/>
      <c r="M333" s="309"/>
      <c r="N333" s="309"/>
    </row>
    <row r="334" spans="6:14">
      <c r="F334" s="309"/>
      <c r="G334" s="309"/>
      <c r="H334" s="309"/>
      <c r="I334" s="309"/>
      <c r="J334" s="309"/>
      <c r="K334" s="309"/>
      <c r="L334" s="309"/>
      <c r="M334" s="309"/>
      <c r="N334" s="309"/>
    </row>
    <row r="335" spans="6:14">
      <c r="F335" s="309"/>
      <c r="G335" s="309"/>
      <c r="H335" s="309"/>
      <c r="I335" s="309"/>
      <c r="J335" s="309"/>
      <c r="K335" s="309"/>
      <c r="L335" s="309"/>
      <c r="M335" s="309"/>
      <c r="N335" s="309"/>
    </row>
    <row r="336" spans="6:14">
      <c r="F336" s="309"/>
      <c r="G336" s="309"/>
      <c r="H336" s="309"/>
      <c r="I336" s="309"/>
      <c r="J336" s="309"/>
      <c r="K336" s="309"/>
      <c r="L336" s="309"/>
      <c r="M336" s="309"/>
      <c r="N336" s="309"/>
    </row>
    <row r="337" spans="6:14">
      <c r="F337" s="309"/>
      <c r="G337" s="309"/>
      <c r="H337" s="309"/>
      <c r="I337" s="309"/>
      <c r="J337" s="309"/>
      <c r="K337" s="309"/>
      <c r="L337" s="309"/>
      <c r="M337" s="309"/>
      <c r="N337" s="309"/>
    </row>
    <row r="338" spans="6:14">
      <c r="F338" s="309"/>
      <c r="G338" s="309"/>
      <c r="H338" s="309"/>
      <c r="I338" s="309"/>
      <c r="J338" s="309"/>
      <c r="K338" s="309"/>
      <c r="L338" s="309"/>
      <c r="M338" s="309"/>
      <c r="N338" s="309"/>
    </row>
    <row r="339" spans="6:14">
      <c r="F339" s="309"/>
      <c r="G339" s="309"/>
      <c r="H339" s="309"/>
      <c r="I339" s="309"/>
      <c r="J339" s="309"/>
      <c r="K339" s="309"/>
      <c r="L339" s="309"/>
      <c r="M339" s="309"/>
      <c r="N339" s="309"/>
    </row>
    <row r="340" spans="6:14">
      <c r="F340" s="309"/>
      <c r="G340" s="309"/>
      <c r="H340" s="309"/>
      <c r="I340" s="309"/>
      <c r="J340" s="309"/>
      <c r="K340" s="309"/>
      <c r="L340" s="309"/>
      <c r="M340" s="309"/>
      <c r="N340" s="309"/>
    </row>
    <row r="341" spans="6:14">
      <c r="F341" s="309"/>
      <c r="G341" s="309"/>
      <c r="H341" s="309"/>
      <c r="I341" s="309"/>
      <c r="J341" s="309"/>
      <c r="K341" s="309"/>
      <c r="L341" s="309"/>
      <c r="M341" s="309"/>
      <c r="N341" s="309"/>
    </row>
    <row r="342" spans="6:14">
      <c r="F342" s="309"/>
      <c r="G342" s="309"/>
      <c r="H342" s="309"/>
      <c r="I342" s="309"/>
      <c r="J342" s="309"/>
      <c r="K342" s="309"/>
      <c r="L342" s="309"/>
      <c r="M342" s="309"/>
      <c r="N342" s="309"/>
    </row>
    <row r="343" spans="6:14">
      <c r="F343" s="309"/>
      <c r="G343" s="309"/>
      <c r="H343" s="309"/>
      <c r="I343" s="309"/>
      <c r="J343" s="309"/>
      <c r="K343" s="309"/>
      <c r="L343" s="309"/>
      <c r="M343" s="309"/>
      <c r="N343" s="309"/>
    </row>
    <row r="344" spans="6:14">
      <c r="F344" s="309"/>
      <c r="G344" s="309"/>
      <c r="H344" s="309"/>
      <c r="I344" s="309"/>
      <c r="J344" s="309"/>
      <c r="K344" s="309"/>
      <c r="L344" s="309"/>
      <c r="M344" s="309"/>
      <c r="N344" s="309"/>
    </row>
    <row r="345" spans="6:14">
      <c r="F345" s="309"/>
      <c r="G345" s="309"/>
      <c r="H345" s="309"/>
      <c r="I345" s="309"/>
      <c r="J345" s="309"/>
      <c r="K345" s="309"/>
      <c r="L345" s="309"/>
      <c r="M345" s="309"/>
      <c r="N345" s="309"/>
    </row>
    <row r="346" spans="6:14">
      <c r="F346" s="309"/>
      <c r="G346" s="309"/>
      <c r="H346" s="309"/>
      <c r="I346" s="309"/>
      <c r="J346" s="309"/>
      <c r="K346" s="309"/>
      <c r="L346" s="309"/>
      <c r="M346" s="309"/>
      <c r="N346" s="309"/>
    </row>
    <row r="347" spans="6:14">
      <c r="F347" s="309"/>
      <c r="G347" s="309"/>
      <c r="H347" s="309"/>
      <c r="I347" s="309"/>
      <c r="J347" s="309"/>
      <c r="K347" s="309"/>
      <c r="L347" s="309"/>
      <c r="M347" s="309"/>
      <c r="N347" s="309"/>
    </row>
    <row r="348" spans="6:14">
      <c r="F348" s="309"/>
      <c r="G348" s="309"/>
      <c r="H348" s="309"/>
      <c r="I348" s="309"/>
      <c r="J348" s="309"/>
      <c r="K348" s="309"/>
      <c r="L348" s="309"/>
      <c r="M348" s="309"/>
      <c r="N348" s="309"/>
    </row>
    <row r="349" spans="6:14">
      <c r="F349" s="309"/>
      <c r="G349" s="309"/>
      <c r="H349" s="309"/>
      <c r="I349" s="309"/>
      <c r="J349" s="309"/>
      <c r="K349" s="309"/>
      <c r="L349" s="309"/>
      <c r="M349" s="309"/>
      <c r="N349" s="309"/>
    </row>
    <row r="350" spans="6:14">
      <c r="F350" s="309"/>
      <c r="G350" s="309"/>
      <c r="H350" s="309"/>
      <c r="I350" s="309"/>
      <c r="J350" s="309"/>
      <c r="K350" s="309"/>
      <c r="L350" s="309"/>
      <c r="M350" s="309"/>
      <c r="N350" s="309"/>
    </row>
    <row r="351" spans="6:14">
      <c r="F351" s="309"/>
      <c r="G351" s="309"/>
      <c r="H351" s="309"/>
      <c r="I351" s="309"/>
      <c r="J351" s="309"/>
      <c r="K351" s="309"/>
      <c r="L351" s="309"/>
      <c r="M351" s="309"/>
      <c r="N351" s="309"/>
    </row>
    <row r="352" spans="6:14">
      <c r="F352" s="309"/>
      <c r="G352" s="309"/>
      <c r="H352" s="309"/>
      <c r="I352" s="309"/>
      <c r="J352" s="309"/>
      <c r="K352" s="309"/>
      <c r="L352" s="309"/>
      <c r="M352" s="309"/>
      <c r="N352" s="309"/>
    </row>
    <row r="353" spans="6:14">
      <c r="F353" s="309"/>
      <c r="G353" s="309"/>
      <c r="H353" s="309"/>
      <c r="I353" s="309"/>
      <c r="J353" s="309"/>
      <c r="K353" s="309"/>
      <c r="L353" s="309"/>
      <c r="M353" s="309"/>
      <c r="N353" s="309"/>
    </row>
    <row r="354" spans="6:14">
      <c r="F354" s="309"/>
      <c r="G354" s="309"/>
      <c r="H354" s="309"/>
      <c r="I354" s="309"/>
      <c r="J354" s="309"/>
      <c r="K354" s="309"/>
      <c r="L354" s="309"/>
      <c r="M354" s="309"/>
      <c r="N354" s="309"/>
    </row>
    <row r="355" spans="6:14">
      <c r="F355" s="309"/>
      <c r="G355" s="309"/>
      <c r="H355" s="309"/>
      <c r="I355" s="309"/>
      <c r="J355" s="309"/>
      <c r="K355" s="309"/>
      <c r="L355" s="309"/>
      <c r="M355" s="309"/>
      <c r="N355" s="309"/>
    </row>
    <row r="356" spans="6:14">
      <c r="F356" s="309"/>
      <c r="G356" s="309"/>
      <c r="H356" s="309"/>
      <c r="I356" s="309"/>
      <c r="J356" s="309"/>
      <c r="K356" s="309"/>
      <c r="L356" s="309"/>
      <c r="M356" s="309"/>
      <c r="N356" s="309"/>
    </row>
    <row r="357" spans="6:14">
      <c r="F357" s="309"/>
      <c r="G357" s="309"/>
      <c r="H357" s="309"/>
      <c r="I357" s="309"/>
      <c r="J357" s="309"/>
      <c r="K357" s="309"/>
      <c r="L357" s="309"/>
      <c r="M357" s="309"/>
      <c r="N357" s="309"/>
    </row>
    <row r="358" spans="6:14">
      <c r="F358" s="309"/>
      <c r="G358" s="309"/>
      <c r="H358" s="309"/>
      <c r="I358" s="309"/>
      <c r="J358" s="309"/>
      <c r="K358" s="309"/>
      <c r="L358" s="309"/>
      <c r="M358" s="309"/>
      <c r="N358" s="309"/>
    </row>
    <row r="359" spans="6:14">
      <c r="F359" s="309"/>
      <c r="G359" s="309"/>
      <c r="H359" s="309"/>
      <c r="I359" s="309"/>
      <c r="J359" s="309"/>
      <c r="K359" s="309"/>
      <c r="L359" s="309"/>
      <c r="M359" s="309"/>
      <c r="N359" s="309"/>
    </row>
    <row r="360" spans="6:14">
      <c r="F360" s="309"/>
      <c r="G360" s="309"/>
      <c r="H360" s="309"/>
      <c r="I360" s="309"/>
      <c r="J360" s="309"/>
      <c r="K360" s="309"/>
      <c r="L360" s="309"/>
      <c r="M360" s="309"/>
      <c r="N360" s="309"/>
    </row>
    <row r="361" spans="6:14">
      <c r="F361" s="309"/>
      <c r="G361" s="309"/>
      <c r="H361" s="309"/>
      <c r="I361" s="309"/>
      <c r="J361" s="309"/>
      <c r="K361" s="309"/>
      <c r="L361" s="309"/>
      <c r="M361" s="309"/>
      <c r="N361" s="309"/>
    </row>
    <row r="362" spans="6:14">
      <c r="F362" s="309"/>
      <c r="G362" s="309"/>
      <c r="H362" s="309"/>
      <c r="I362" s="309"/>
      <c r="J362" s="309"/>
      <c r="K362" s="309"/>
      <c r="L362" s="309"/>
      <c r="M362" s="309"/>
      <c r="N362" s="309"/>
    </row>
    <row r="363" spans="6:14">
      <c r="F363" s="309"/>
      <c r="G363" s="309"/>
      <c r="H363" s="309"/>
      <c r="I363" s="309"/>
      <c r="J363" s="309"/>
      <c r="K363" s="309"/>
      <c r="L363" s="309"/>
      <c r="M363" s="309"/>
      <c r="N363" s="309"/>
    </row>
    <row r="364" spans="6:14">
      <c r="F364" s="309"/>
      <c r="G364" s="309"/>
      <c r="H364" s="309"/>
      <c r="I364" s="309"/>
      <c r="J364" s="309"/>
      <c r="K364" s="309"/>
      <c r="L364" s="309"/>
      <c r="M364" s="309"/>
      <c r="N364" s="309"/>
    </row>
    <row r="365" spans="6:14">
      <c r="F365" s="309"/>
      <c r="G365" s="309"/>
      <c r="H365" s="309"/>
      <c r="I365" s="309"/>
      <c r="J365" s="309"/>
      <c r="K365" s="309"/>
      <c r="L365" s="309"/>
      <c r="M365" s="309"/>
      <c r="N365" s="309"/>
    </row>
    <row r="366" spans="6:14">
      <c r="F366" s="309"/>
      <c r="G366" s="309"/>
      <c r="H366" s="309"/>
      <c r="I366" s="309"/>
      <c r="J366" s="309"/>
      <c r="K366" s="309"/>
      <c r="L366" s="309"/>
      <c r="M366" s="309"/>
      <c r="N366" s="309"/>
    </row>
    <row r="367" spans="6:14">
      <c r="F367" s="309"/>
      <c r="G367" s="309"/>
      <c r="H367" s="309"/>
      <c r="I367" s="309"/>
      <c r="J367" s="309"/>
      <c r="K367" s="309"/>
      <c r="L367" s="309"/>
      <c r="M367" s="309"/>
      <c r="N367" s="309"/>
    </row>
    <row r="368" spans="6:14">
      <c r="F368" s="309"/>
      <c r="G368" s="309"/>
      <c r="H368" s="309"/>
      <c r="I368" s="309"/>
      <c r="J368" s="309"/>
      <c r="K368" s="309"/>
      <c r="L368" s="309"/>
      <c r="M368" s="309"/>
      <c r="N368" s="309"/>
    </row>
    <row r="369" spans="6:14">
      <c r="F369" s="309"/>
      <c r="G369" s="309"/>
      <c r="H369" s="309"/>
      <c r="I369" s="309"/>
      <c r="J369" s="309"/>
      <c r="K369" s="309"/>
      <c r="L369" s="309"/>
      <c r="M369" s="309"/>
      <c r="N369" s="309"/>
    </row>
    <row r="370" spans="6:14">
      <c r="F370" s="309"/>
      <c r="G370" s="309"/>
      <c r="H370" s="309"/>
      <c r="I370" s="309"/>
      <c r="J370" s="309"/>
      <c r="K370" s="309"/>
      <c r="L370" s="309"/>
      <c r="M370" s="309"/>
      <c r="N370" s="309"/>
    </row>
    <row r="371" spans="6:14">
      <c r="F371" s="309"/>
      <c r="G371" s="309"/>
      <c r="H371" s="309"/>
      <c r="I371" s="309"/>
      <c r="J371" s="309"/>
      <c r="K371" s="309"/>
      <c r="L371" s="309"/>
      <c r="M371" s="309"/>
      <c r="N371" s="309"/>
    </row>
    <row r="372" spans="6:14">
      <c r="F372" s="309"/>
      <c r="G372" s="309"/>
      <c r="H372" s="309"/>
      <c r="I372" s="309"/>
      <c r="J372" s="309"/>
      <c r="K372" s="309"/>
      <c r="L372" s="309"/>
      <c r="M372" s="309"/>
      <c r="N372" s="309"/>
    </row>
    <row r="373" spans="6:14">
      <c r="F373" s="309"/>
      <c r="G373" s="309"/>
      <c r="H373" s="309"/>
      <c r="I373" s="309"/>
      <c r="J373" s="309"/>
      <c r="K373" s="309"/>
      <c r="L373" s="309"/>
      <c r="M373" s="309"/>
      <c r="N373" s="309"/>
    </row>
    <row r="374" spans="6:14">
      <c r="F374" s="309"/>
      <c r="G374" s="309"/>
      <c r="H374" s="309"/>
      <c r="I374" s="309"/>
      <c r="J374" s="309"/>
      <c r="K374" s="309"/>
      <c r="L374" s="309"/>
      <c r="M374" s="309"/>
      <c r="N374" s="309"/>
    </row>
    <row r="375" spans="6:14">
      <c r="F375" s="309"/>
      <c r="G375" s="309"/>
      <c r="H375" s="309"/>
      <c r="I375" s="309"/>
      <c r="J375" s="309"/>
      <c r="K375" s="309"/>
      <c r="L375" s="309"/>
      <c r="M375" s="309"/>
      <c r="N375" s="309"/>
    </row>
    <row r="376" spans="6:14">
      <c r="F376" s="309"/>
      <c r="G376" s="309"/>
      <c r="H376" s="309"/>
      <c r="I376" s="309"/>
      <c r="J376" s="309"/>
      <c r="K376" s="309"/>
      <c r="L376" s="309"/>
      <c r="M376" s="309"/>
      <c r="N376" s="309"/>
    </row>
    <row r="377" spans="6:14">
      <c r="F377" s="309"/>
      <c r="G377" s="309"/>
      <c r="H377" s="309"/>
      <c r="I377" s="309"/>
      <c r="J377" s="309"/>
      <c r="K377" s="309"/>
      <c r="L377" s="309"/>
      <c r="M377" s="309"/>
      <c r="N377" s="309"/>
    </row>
    <row r="378" spans="6:14">
      <c r="F378" s="309"/>
      <c r="G378" s="309"/>
      <c r="H378" s="309"/>
      <c r="I378" s="309"/>
      <c r="J378" s="309"/>
      <c r="K378" s="309"/>
      <c r="L378" s="309"/>
      <c r="M378" s="309"/>
      <c r="N378" s="309"/>
    </row>
    <row r="379" spans="6:14">
      <c r="F379" s="309"/>
      <c r="G379" s="309"/>
      <c r="H379" s="309"/>
      <c r="I379" s="309"/>
      <c r="J379" s="309"/>
      <c r="K379" s="309"/>
      <c r="L379" s="309"/>
      <c r="M379" s="309"/>
      <c r="N379" s="309"/>
    </row>
    <row r="380" spans="6:14">
      <c r="F380" s="309"/>
      <c r="G380" s="309"/>
      <c r="H380" s="309"/>
      <c r="I380" s="309"/>
      <c r="J380" s="309"/>
      <c r="K380" s="309"/>
      <c r="L380" s="309"/>
      <c r="M380" s="309"/>
      <c r="N380" s="309"/>
    </row>
    <row r="381" spans="6:14">
      <c r="F381" s="309"/>
      <c r="G381" s="309"/>
      <c r="H381" s="309"/>
      <c r="I381" s="309"/>
      <c r="J381" s="309"/>
      <c r="K381" s="309"/>
      <c r="L381" s="309"/>
      <c r="M381" s="309"/>
      <c r="N381" s="309"/>
    </row>
    <row r="382" spans="6:14">
      <c r="F382" s="309"/>
      <c r="G382" s="309"/>
      <c r="H382" s="309"/>
      <c r="I382" s="309"/>
      <c r="J382" s="309"/>
      <c r="K382" s="309"/>
      <c r="L382" s="309"/>
      <c r="M382" s="309"/>
      <c r="N382" s="309"/>
    </row>
    <row r="383" spans="6:14">
      <c r="F383" s="309"/>
      <c r="G383" s="309"/>
      <c r="H383" s="309"/>
      <c r="I383" s="309"/>
      <c r="J383" s="309"/>
      <c r="K383" s="309"/>
      <c r="L383" s="309"/>
      <c r="M383" s="309"/>
      <c r="N383" s="309"/>
    </row>
    <row r="384" spans="6:14">
      <c r="F384" s="309"/>
      <c r="G384" s="309"/>
      <c r="H384" s="309"/>
      <c r="I384" s="309"/>
      <c r="J384" s="309"/>
      <c r="K384" s="309"/>
      <c r="L384" s="309"/>
      <c r="M384" s="309"/>
      <c r="N384" s="309"/>
    </row>
    <row r="385" spans="6:14">
      <c r="F385" s="309"/>
      <c r="G385" s="309"/>
      <c r="H385" s="309"/>
      <c r="I385" s="309"/>
      <c r="J385" s="309"/>
      <c r="K385" s="309"/>
      <c r="L385" s="309"/>
      <c r="M385" s="309"/>
      <c r="N385" s="309"/>
    </row>
    <row r="386" spans="6:14">
      <c r="F386" s="309"/>
      <c r="G386" s="309"/>
      <c r="H386" s="309"/>
      <c r="I386" s="309"/>
      <c r="J386" s="309"/>
      <c r="K386" s="309"/>
      <c r="L386" s="309"/>
      <c r="M386" s="309"/>
      <c r="N386" s="309"/>
    </row>
    <row r="387" spans="6:14">
      <c r="F387" s="309"/>
      <c r="G387" s="309"/>
      <c r="H387" s="309"/>
      <c r="I387" s="309"/>
      <c r="J387" s="309"/>
      <c r="K387" s="309"/>
      <c r="L387" s="309"/>
      <c r="M387" s="309"/>
      <c r="N387" s="309"/>
    </row>
    <row r="388" spans="6:14">
      <c r="F388" s="309"/>
      <c r="G388" s="309"/>
      <c r="H388" s="309"/>
      <c r="I388" s="309"/>
      <c r="J388" s="309"/>
      <c r="K388" s="309"/>
      <c r="L388" s="309"/>
      <c r="M388" s="309"/>
      <c r="N388" s="309"/>
    </row>
    <row r="389" spans="6:14">
      <c r="F389" s="309"/>
      <c r="G389" s="309"/>
      <c r="H389" s="309"/>
      <c r="I389" s="309"/>
      <c r="J389" s="309"/>
      <c r="K389" s="309"/>
      <c r="L389" s="309"/>
      <c r="M389" s="309"/>
      <c r="N389" s="309"/>
    </row>
    <row r="390" spans="6:14">
      <c r="F390" s="309"/>
      <c r="G390" s="309"/>
      <c r="H390" s="309"/>
      <c r="I390" s="309"/>
      <c r="J390" s="309"/>
      <c r="K390" s="309"/>
      <c r="L390" s="309"/>
      <c r="M390" s="309"/>
      <c r="N390" s="309"/>
    </row>
    <row r="391" spans="6:14">
      <c r="F391" s="309"/>
      <c r="G391" s="309"/>
      <c r="H391" s="309"/>
      <c r="I391" s="309"/>
      <c r="J391" s="309"/>
      <c r="K391" s="309"/>
      <c r="L391" s="309"/>
      <c r="M391" s="309"/>
      <c r="N391" s="309"/>
    </row>
    <row r="392" spans="6:14">
      <c r="F392" s="309"/>
      <c r="G392" s="309"/>
      <c r="H392" s="309"/>
      <c r="I392" s="309"/>
      <c r="J392" s="309"/>
      <c r="K392" s="309"/>
      <c r="L392" s="309"/>
      <c r="M392" s="309"/>
      <c r="N392" s="309"/>
    </row>
    <row r="393" spans="6:14">
      <c r="F393" s="309"/>
      <c r="G393" s="309"/>
      <c r="H393" s="309"/>
      <c r="I393" s="309"/>
      <c r="J393" s="309"/>
      <c r="K393" s="309"/>
      <c r="L393" s="309"/>
      <c r="M393" s="309"/>
      <c r="N393" s="309"/>
    </row>
    <row r="394" spans="6:14">
      <c r="F394" s="309"/>
      <c r="G394" s="309"/>
      <c r="H394" s="309"/>
      <c r="I394" s="309"/>
      <c r="J394" s="309"/>
      <c r="K394" s="309"/>
      <c r="L394" s="309"/>
      <c r="M394" s="309"/>
      <c r="N394" s="309"/>
    </row>
    <row r="395" spans="6:14">
      <c r="F395" s="309"/>
      <c r="G395" s="309"/>
      <c r="H395" s="309"/>
      <c r="I395" s="309"/>
      <c r="J395" s="309"/>
      <c r="K395" s="309"/>
      <c r="L395" s="309"/>
      <c r="M395" s="309"/>
      <c r="N395" s="309"/>
    </row>
    <row r="396" spans="6:14">
      <c r="F396" s="309"/>
      <c r="G396" s="309"/>
      <c r="H396" s="309"/>
      <c r="I396" s="309"/>
      <c r="J396" s="309"/>
      <c r="K396" s="309"/>
      <c r="L396" s="309"/>
      <c r="M396" s="309"/>
      <c r="N396" s="309"/>
    </row>
    <row r="397" spans="6:14">
      <c r="F397" s="309"/>
      <c r="G397" s="309"/>
      <c r="H397" s="309"/>
      <c r="I397" s="309"/>
      <c r="J397" s="309"/>
      <c r="K397" s="309"/>
      <c r="L397" s="309"/>
      <c r="M397" s="309"/>
      <c r="N397" s="309"/>
    </row>
    <row r="398" spans="6:14">
      <c r="F398" s="309"/>
      <c r="G398" s="309"/>
      <c r="H398" s="309"/>
      <c r="I398" s="309"/>
      <c r="J398" s="309"/>
      <c r="K398" s="309"/>
      <c r="L398" s="309"/>
      <c r="M398" s="309"/>
      <c r="N398" s="309"/>
    </row>
    <row r="399" spans="6:14">
      <c r="F399" s="309"/>
      <c r="G399" s="309"/>
      <c r="H399" s="309"/>
      <c r="I399" s="309"/>
      <c r="J399" s="309"/>
      <c r="K399" s="309"/>
      <c r="L399" s="309"/>
      <c r="M399" s="309"/>
      <c r="N399" s="309"/>
    </row>
    <row r="400" spans="6:14">
      <c r="F400" s="309"/>
      <c r="G400" s="309"/>
      <c r="H400" s="309"/>
      <c r="I400" s="309"/>
      <c r="J400" s="309"/>
      <c r="K400" s="309"/>
      <c r="L400" s="309"/>
      <c r="M400" s="309"/>
      <c r="N400" s="309"/>
    </row>
    <row r="401" spans="6:14">
      <c r="F401" s="309"/>
      <c r="G401" s="309"/>
      <c r="H401" s="309"/>
      <c r="I401" s="309"/>
      <c r="J401" s="309"/>
      <c r="K401" s="309"/>
      <c r="L401" s="309"/>
      <c r="M401" s="309"/>
      <c r="N401" s="309"/>
    </row>
    <row r="402" spans="6:14">
      <c r="F402" s="309"/>
      <c r="G402" s="309"/>
      <c r="H402" s="309"/>
      <c r="I402" s="309"/>
      <c r="J402" s="309"/>
      <c r="K402" s="309"/>
      <c r="L402" s="309"/>
      <c r="M402" s="309"/>
      <c r="N402" s="309"/>
    </row>
    <row r="403" spans="6:14">
      <c r="F403" s="309"/>
      <c r="G403" s="309"/>
      <c r="H403" s="309"/>
      <c r="I403" s="309"/>
      <c r="J403" s="309"/>
      <c r="K403" s="309"/>
      <c r="L403" s="309"/>
      <c r="M403" s="309"/>
      <c r="N403" s="309"/>
    </row>
    <row r="404" spans="6:14">
      <c r="F404" s="309"/>
      <c r="G404" s="309"/>
      <c r="H404" s="309"/>
      <c r="I404" s="309"/>
      <c r="J404" s="309"/>
      <c r="K404" s="309"/>
      <c r="L404" s="309"/>
      <c r="M404" s="309"/>
      <c r="N404" s="309"/>
    </row>
    <row r="405" spans="6:14">
      <c r="F405" s="309"/>
      <c r="G405" s="309"/>
      <c r="H405" s="309"/>
      <c r="I405" s="309"/>
      <c r="J405" s="309"/>
      <c r="K405" s="309"/>
      <c r="L405" s="309"/>
      <c r="M405" s="309"/>
      <c r="N405" s="309"/>
    </row>
    <row r="406" spans="6:14">
      <c r="F406" s="309"/>
      <c r="G406" s="309"/>
      <c r="H406" s="309"/>
      <c r="I406" s="309"/>
      <c r="J406" s="309"/>
      <c r="K406" s="309"/>
      <c r="L406" s="309"/>
      <c r="M406" s="309"/>
      <c r="N406" s="309"/>
    </row>
    <row r="407" spans="6:14">
      <c r="F407" s="309"/>
      <c r="G407" s="309"/>
      <c r="H407" s="309"/>
      <c r="I407" s="309"/>
      <c r="J407" s="309"/>
      <c r="K407" s="309"/>
      <c r="L407" s="309"/>
      <c r="M407" s="309"/>
      <c r="N407" s="309"/>
    </row>
    <row r="408" spans="6:14">
      <c r="F408" s="309"/>
      <c r="G408" s="309"/>
      <c r="H408" s="309"/>
      <c r="I408" s="309"/>
      <c r="J408" s="309"/>
      <c r="K408" s="309"/>
      <c r="L408" s="309"/>
      <c r="M408" s="309"/>
      <c r="N408" s="309"/>
    </row>
    <row r="409" spans="6:14">
      <c r="F409" s="309"/>
      <c r="G409" s="309"/>
      <c r="H409" s="309"/>
      <c r="I409" s="309"/>
      <c r="J409" s="309"/>
      <c r="K409" s="309"/>
      <c r="L409" s="309"/>
      <c r="M409" s="309"/>
      <c r="N409" s="309"/>
    </row>
    <row r="410" spans="6:14">
      <c r="F410" s="309"/>
      <c r="G410" s="309"/>
      <c r="H410" s="309"/>
      <c r="I410" s="309"/>
      <c r="J410" s="309"/>
      <c r="K410" s="309"/>
      <c r="L410" s="309"/>
      <c r="M410" s="309"/>
      <c r="N410" s="309"/>
    </row>
    <row r="411" spans="6:14">
      <c r="F411" s="309"/>
      <c r="G411" s="309"/>
      <c r="H411" s="309"/>
      <c r="I411" s="309"/>
      <c r="J411" s="309"/>
      <c r="K411" s="309"/>
      <c r="L411" s="309"/>
      <c r="M411" s="309"/>
      <c r="N411" s="309"/>
    </row>
    <row r="412" spans="6:14">
      <c r="F412" s="309"/>
      <c r="G412" s="309"/>
      <c r="H412" s="309"/>
      <c r="I412" s="309"/>
      <c r="J412" s="309"/>
      <c r="K412" s="309"/>
      <c r="L412" s="309"/>
      <c r="M412" s="309"/>
      <c r="N412" s="309"/>
    </row>
    <row r="413" spans="6:14">
      <c r="F413" s="309"/>
      <c r="G413" s="309"/>
      <c r="H413" s="309"/>
      <c r="I413" s="309"/>
      <c r="J413" s="309"/>
      <c r="K413" s="309"/>
      <c r="L413" s="309"/>
      <c r="M413" s="309"/>
      <c r="N413" s="309"/>
    </row>
    <row r="414" spans="6:14">
      <c r="F414" s="309"/>
      <c r="G414" s="309"/>
      <c r="H414" s="309"/>
      <c r="I414" s="309"/>
      <c r="J414" s="309"/>
      <c r="K414" s="309"/>
      <c r="L414" s="309"/>
      <c r="M414" s="309"/>
      <c r="N414" s="309"/>
    </row>
    <row r="415" spans="6:14">
      <c r="F415" s="309"/>
      <c r="G415" s="309"/>
      <c r="H415" s="309"/>
      <c r="I415" s="309"/>
      <c r="J415" s="309"/>
      <c r="K415" s="309"/>
      <c r="L415" s="309"/>
      <c r="M415" s="309"/>
      <c r="N415" s="309"/>
    </row>
    <row r="416" spans="6:14">
      <c r="F416" s="309"/>
      <c r="G416" s="309"/>
      <c r="H416" s="309"/>
      <c r="I416" s="309"/>
      <c r="J416" s="309"/>
      <c r="K416" s="309"/>
      <c r="L416" s="309"/>
      <c r="M416" s="309"/>
      <c r="N416" s="309"/>
    </row>
    <row r="417" spans="6:14">
      <c r="F417" s="309"/>
      <c r="G417" s="309"/>
      <c r="H417" s="309"/>
      <c r="I417" s="309"/>
      <c r="J417" s="309"/>
      <c r="K417" s="309"/>
      <c r="L417" s="309"/>
      <c r="M417" s="309"/>
      <c r="N417" s="309"/>
    </row>
    <row r="418" spans="6:14">
      <c r="F418" s="309"/>
      <c r="G418" s="309"/>
      <c r="H418" s="309"/>
      <c r="I418" s="309"/>
      <c r="J418" s="309"/>
      <c r="K418" s="309"/>
      <c r="L418" s="309"/>
      <c r="M418" s="309"/>
      <c r="N418" s="309"/>
    </row>
    <row r="419" spans="6:14">
      <c r="F419" s="309"/>
      <c r="G419" s="309"/>
      <c r="H419" s="309"/>
      <c r="I419" s="309"/>
      <c r="J419" s="309"/>
      <c r="K419" s="309"/>
      <c r="L419" s="309"/>
      <c r="M419" s="309"/>
      <c r="N419" s="309"/>
    </row>
    <row r="420" spans="6:14">
      <c r="F420" s="309"/>
      <c r="G420" s="309"/>
      <c r="H420" s="309"/>
      <c r="I420" s="309"/>
      <c r="J420" s="309"/>
      <c r="K420" s="309"/>
      <c r="L420" s="309"/>
      <c r="M420" s="309"/>
      <c r="N420" s="309"/>
    </row>
    <row r="421" spans="6:14">
      <c r="F421" s="309"/>
      <c r="G421" s="309"/>
      <c r="H421" s="309"/>
      <c r="I421" s="309"/>
      <c r="J421" s="309"/>
      <c r="K421" s="309"/>
      <c r="L421" s="309"/>
      <c r="M421" s="309"/>
      <c r="N421" s="309"/>
    </row>
    <row r="422" spans="6:14">
      <c r="F422" s="309"/>
      <c r="G422" s="309"/>
      <c r="H422" s="309"/>
      <c r="I422" s="309"/>
      <c r="J422" s="309"/>
      <c r="K422" s="309"/>
      <c r="L422" s="309"/>
      <c r="M422" s="309"/>
      <c r="N422" s="309"/>
    </row>
    <row r="423" spans="6:14">
      <c r="F423" s="309"/>
      <c r="G423" s="309"/>
      <c r="H423" s="309"/>
      <c r="I423" s="309"/>
      <c r="J423" s="309"/>
      <c r="K423" s="309"/>
      <c r="L423" s="309"/>
      <c r="M423" s="309"/>
      <c r="N423" s="309"/>
    </row>
    <row r="424" spans="6:14">
      <c r="F424" s="309"/>
      <c r="G424" s="309"/>
      <c r="H424" s="309"/>
      <c r="I424" s="309"/>
      <c r="J424" s="309"/>
      <c r="K424" s="309"/>
      <c r="L424" s="309"/>
      <c r="M424" s="309"/>
      <c r="N424" s="309"/>
    </row>
    <row r="425" spans="6:14">
      <c r="F425" s="309"/>
      <c r="G425" s="309"/>
      <c r="H425" s="309"/>
      <c r="I425" s="309"/>
      <c r="J425" s="309"/>
      <c r="K425" s="309"/>
      <c r="L425" s="309"/>
      <c r="M425" s="309"/>
      <c r="N425" s="309"/>
    </row>
    <row r="426" spans="6:14">
      <c r="F426" s="309"/>
      <c r="G426" s="309"/>
      <c r="H426" s="309"/>
      <c r="I426" s="309"/>
      <c r="J426" s="309"/>
      <c r="K426" s="309"/>
      <c r="L426" s="309"/>
      <c r="M426" s="309"/>
      <c r="N426" s="309"/>
    </row>
    <row r="427" spans="6:14">
      <c r="F427" s="309"/>
      <c r="G427" s="309"/>
      <c r="H427" s="309"/>
      <c r="I427" s="309"/>
      <c r="J427" s="309"/>
      <c r="K427" s="309"/>
      <c r="L427" s="309"/>
      <c r="M427" s="309"/>
      <c r="N427" s="309"/>
    </row>
    <row r="428" spans="6:14">
      <c r="F428" s="309"/>
      <c r="G428" s="309"/>
      <c r="H428" s="309"/>
      <c r="I428" s="309"/>
      <c r="J428" s="309"/>
      <c r="K428" s="309"/>
      <c r="L428" s="309"/>
      <c r="M428" s="309"/>
      <c r="N428" s="309"/>
    </row>
    <row r="429" spans="6:14">
      <c r="F429" s="309"/>
      <c r="G429" s="309"/>
      <c r="H429" s="309"/>
      <c r="I429" s="309"/>
      <c r="J429" s="309"/>
      <c r="K429" s="309"/>
      <c r="L429" s="309"/>
      <c r="M429" s="309"/>
      <c r="N429" s="309"/>
    </row>
    <row r="430" spans="6:14">
      <c r="F430" s="309"/>
      <c r="G430" s="309"/>
      <c r="H430" s="309"/>
      <c r="I430" s="309"/>
      <c r="J430" s="309"/>
      <c r="K430" s="309"/>
      <c r="L430" s="309"/>
      <c r="M430" s="309"/>
      <c r="N430" s="309"/>
    </row>
    <row r="431" spans="6:14">
      <c r="F431" s="309"/>
      <c r="G431" s="309"/>
      <c r="H431" s="309"/>
      <c r="I431" s="309"/>
      <c r="J431" s="309"/>
      <c r="K431" s="309"/>
      <c r="L431" s="309"/>
      <c r="M431" s="309"/>
      <c r="N431" s="309"/>
    </row>
    <row r="432" spans="6:14">
      <c r="F432" s="309"/>
      <c r="G432" s="309"/>
      <c r="H432" s="309"/>
      <c r="I432" s="309"/>
      <c r="J432" s="309"/>
      <c r="K432" s="309"/>
      <c r="L432" s="309"/>
      <c r="M432" s="309"/>
      <c r="N432" s="309"/>
    </row>
    <row r="433" spans="6:14">
      <c r="F433" s="309"/>
      <c r="G433" s="309"/>
      <c r="H433" s="309"/>
      <c r="I433" s="309"/>
      <c r="J433" s="309"/>
      <c r="K433" s="309"/>
      <c r="L433" s="309"/>
      <c r="M433" s="309"/>
      <c r="N433" s="309"/>
    </row>
    <row r="434" spans="6:14">
      <c r="F434" s="309"/>
      <c r="G434" s="309"/>
      <c r="H434" s="309"/>
      <c r="I434" s="309"/>
      <c r="J434" s="309"/>
      <c r="K434" s="309"/>
      <c r="L434" s="309"/>
      <c r="M434" s="309"/>
      <c r="N434" s="309"/>
    </row>
    <row r="435" spans="6:14">
      <c r="F435" s="309"/>
      <c r="G435" s="309"/>
      <c r="H435" s="309"/>
      <c r="I435" s="309"/>
      <c r="J435" s="309"/>
      <c r="K435" s="309"/>
      <c r="L435" s="309"/>
      <c r="M435" s="309"/>
      <c r="N435" s="309"/>
    </row>
    <row r="436" spans="6:14">
      <c r="F436" s="309"/>
      <c r="G436" s="309"/>
      <c r="H436" s="309"/>
      <c r="I436" s="309"/>
      <c r="J436" s="309"/>
      <c r="K436" s="309"/>
      <c r="L436" s="309"/>
      <c r="M436" s="309"/>
      <c r="N436" s="309"/>
    </row>
    <row r="437" spans="6:14">
      <c r="F437" s="309"/>
      <c r="G437" s="309"/>
      <c r="H437" s="309"/>
      <c r="I437" s="309"/>
      <c r="J437" s="309"/>
      <c r="K437" s="309"/>
      <c r="L437" s="309"/>
      <c r="M437" s="309"/>
      <c r="N437" s="309"/>
    </row>
    <row r="438" spans="6:14">
      <c r="F438" s="309"/>
      <c r="G438" s="309"/>
      <c r="H438" s="309"/>
      <c r="I438" s="309"/>
      <c r="J438" s="309"/>
      <c r="K438" s="309"/>
      <c r="L438" s="309"/>
      <c r="M438" s="309"/>
      <c r="N438" s="309"/>
    </row>
    <row r="439" spans="6:14">
      <c r="F439" s="309"/>
      <c r="G439" s="309"/>
      <c r="H439" s="309"/>
      <c r="I439" s="309"/>
      <c r="J439" s="309"/>
      <c r="K439" s="309"/>
      <c r="L439" s="309"/>
      <c r="M439" s="309"/>
      <c r="N439" s="309"/>
    </row>
    <row r="440" spans="6:14">
      <c r="F440" s="309"/>
      <c r="G440" s="309"/>
      <c r="H440" s="309"/>
      <c r="I440" s="309"/>
      <c r="J440" s="309"/>
      <c r="K440" s="309"/>
      <c r="L440" s="309"/>
      <c r="M440" s="309"/>
      <c r="N440" s="309"/>
    </row>
    <row r="441" spans="6:14">
      <c r="F441" s="309"/>
      <c r="G441" s="309"/>
      <c r="H441" s="309"/>
      <c r="I441" s="309"/>
      <c r="J441" s="309"/>
      <c r="K441" s="309"/>
      <c r="L441" s="309"/>
      <c r="M441" s="309"/>
      <c r="N441" s="309"/>
    </row>
    <row r="442" spans="6:14">
      <c r="F442" s="309"/>
      <c r="G442" s="309"/>
      <c r="H442" s="309"/>
      <c r="I442" s="309"/>
      <c r="J442" s="309"/>
      <c r="K442" s="309"/>
      <c r="L442" s="309"/>
      <c r="M442" s="309"/>
      <c r="N442" s="309"/>
    </row>
    <row r="443" spans="6:14">
      <c r="F443" s="309"/>
      <c r="G443" s="309"/>
      <c r="H443" s="309"/>
      <c r="I443" s="309"/>
      <c r="J443" s="309"/>
      <c r="K443" s="309"/>
      <c r="L443" s="309"/>
      <c r="M443" s="309"/>
      <c r="N443" s="309"/>
    </row>
    <row r="444" spans="6:14">
      <c r="F444" s="309"/>
      <c r="G444" s="309"/>
      <c r="H444" s="309"/>
      <c r="I444" s="309"/>
      <c r="J444" s="309"/>
      <c r="K444" s="309"/>
      <c r="L444" s="309"/>
      <c r="M444" s="309"/>
      <c r="N444" s="309"/>
    </row>
    <row r="445" spans="6:14">
      <c r="F445" s="309"/>
      <c r="G445" s="309"/>
      <c r="H445" s="309"/>
      <c r="I445" s="309"/>
      <c r="J445" s="309"/>
      <c r="K445" s="309"/>
      <c r="L445" s="309"/>
      <c r="M445" s="309"/>
      <c r="N445" s="309"/>
    </row>
    <row r="446" spans="6:14">
      <c r="F446" s="309"/>
      <c r="G446" s="309"/>
      <c r="H446" s="309"/>
      <c r="I446" s="309"/>
      <c r="J446" s="309"/>
      <c r="K446" s="309"/>
      <c r="L446" s="309"/>
      <c r="M446" s="309"/>
      <c r="N446" s="309"/>
    </row>
    <row r="447" spans="6:14">
      <c r="F447" s="309"/>
      <c r="G447" s="309"/>
      <c r="H447" s="309"/>
      <c r="I447" s="309"/>
      <c r="J447" s="309"/>
      <c r="K447" s="309"/>
      <c r="L447" s="309"/>
      <c r="M447" s="309"/>
      <c r="N447" s="309"/>
    </row>
    <row r="448" spans="6:14">
      <c r="F448" s="309"/>
      <c r="G448" s="309"/>
      <c r="H448" s="309"/>
      <c r="I448" s="309"/>
      <c r="J448" s="309"/>
      <c r="K448" s="309"/>
      <c r="L448" s="309"/>
      <c r="M448" s="309"/>
      <c r="N448" s="309"/>
    </row>
    <row r="449" spans="6:14">
      <c r="F449" s="309"/>
      <c r="G449" s="309"/>
      <c r="H449" s="309"/>
      <c r="I449" s="309"/>
      <c r="J449" s="309"/>
      <c r="K449" s="309"/>
      <c r="L449" s="309"/>
      <c r="M449" s="309"/>
      <c r="N449" s="309"/>
    </row>
    <row r="450" spans="6:14">
      <c r="F450" s="309"/>
      <c r="G450" s="309"/>
      <c r="H450" s="309"/>
      <c r="I450" s="309"/>
      <c r="J450" s="309"/>
      <c r="K450" s="309"/>
      <c r="L450" s="309"/>
      <c r="M450" s="309"/>
      <c r="N450" s="309"/>
    </row>
    <row r="451" spans="6:14">
      <c r="F451" s="309"/>
      <c r="G451" s="309"/>
      <c r="H451" s="309"/>
      <c r="I451" s="309"/>
      <c r="J451" s="309"/>
      <c r="K451" s="309"/>
      <c r="L451" s="309"/>
      <c r="M451" s="309"/>
      <c r="N451" s="309"/>
    </row>
    <row r="452" spans="6:14">
      <c r="F452" s="309"/>
      <c r="G452" s="309"/>
      <c r="H452" s="309"/>
      <c r="I452" s="309"/>
      <c r="J452" s="309"/>
      <c r="K452" s="309"/>
      <c r="L452" s="309"/>
      <c r="M452" s="309"/>
      <c r="N452" s="309"/>
    </row>
    <row r="453" spans="6:14">
      <c r="F453" s="309"/>
      <c r="G453" s="309"/>
      <c r="H453" s="309"/>
      <c r="I453" s="309"/>
      <c r="J453" s="309"/>
      <c r="K453" s="309"/>
      <c r="L453" s="309"/>
      <c r="M453" s="309"/>
      <c r="N453" s="309"/>
    </row>
    <row r="454" spans="6:14">
      <c r="F454" s="309"/>
      <c r="G454" s="309"/>
      <c r="H454" s="309"/>
      <c r="I454" s="309"/>
      <c r="J454" s="309"/>
      <c r="K454" s="309"/>
      <c r="L454" s="309"/>
      <c r="M454" s="309"/>
      <c r="N454" s="309"/>
    </row>
    <row r="455" spans="6:14">
      <c r="F455" s="309"/>
      <c r="G455" s="309"/>
      <c r="H455" s="309"/>
      <c r="I455" s="309"/>
      <c r="J455" s="309"/>
      <c r="K455" s="309"/>
      <c r="L455" s="309"/>
      <c r="M455" s="309"/>
      <c r="N455" s="309"/>
    </row>
    <row r="456" spans="6:14">
      <c r="F456" s="309"/>
      <c r="G456" s="309"/>
      <c r="H456" s="309"/>
      <c r="I456" s="309"/>
      <c r="J456" s="309"/>
      <c r="K456" s="309"/>
      <c r="L456" s="309"/>
      <c r="M456" s="309"/>
      <c r="N456" s="309"/>
    </row>
    <row r="457" spans="6:14">
      <c r="F457" s="309"/>
      <c r="G457" s="309"/>
      <c r="H457" s="309"/>
      <c r="I457" s="309"/>
      <c r="J457" s="309"/>
      <c r="K457" s="309"/>
      <c r="L457" s="309"/>
      <c r="M457" s="309"/>
      <c r="N457" s="309"/>
    </row>
    <row r="458" spans="6:14">
      <c r="F458" s="309"/>
      <c r="G458" s="309"/>
      <c r="H458" s="309"/>
      <c r="I458" s="309"/>
      <c r="J458" s="309"/>
      <c r="K458" s="309"/>
      <c r="L458" s="309"/>
      <c r="M458" s="309"/>
      <c r="N458" s="309"/>
    </row>
    <row r="459" spans="6:14">
      <c r="F459" s="309"/>
      <c r="G459" s="309"/>
      <c r="H459" s="309"/>
      <c r="I459" s="309"/>
      <c r="J459" s="309"/>
      <c r="K459" s="309"/>
      <c r="L459" s="309"/>
      <c r="M459" s="309"/>
      <c r="N459" s="309"/>
    </row>
    <row r="460" spans="6:14">
      <c r="F460" s="309"/>
      <c r="G460" s="309"/>
      <c r="H460" s="309"/>
      <c r="I460" s="309"/>
      <c r="J460" s="309"/>
      <c r="K460" s="309"/>
      <c r="L460" s="309"/>
      <c r="M460" s="309"/>
      <c r="N460" s="309"/>
    </row>
    <row r="461" spans="6:14">
      <c r="F461" s="309"/>
      <c r="G461" s="309"/>
      <c r="H461" s="309"/>
      <c r="I461" s="309"/>
      <c r="J461" s="309"/>
      <c r="K461" s="309"/>
      <c r="L461" s="309"/>
      <c r="M461" s="309"/>
      <c r="N461" s="309"/>
    </row>
    <row r="462" spans="6:14">
      <c r="F462" s="309"/>
      <c r="G462" s="309"/>
      <c r="H462" s="309"/>
      <c r="I462" s="309"/>
      <c r="J462" s="309"/>
      <c r="K462" s="309"/>
      <c r="L462" s="309"/>
      <c r="M462" s="309"/>
      <c r="N462" s="309"/>
    </row>
    <row r="463" spans="6:14">
      <c r="F463" s="309"/>
      <c r="G463" s="309"/>
      <c r="H463" s="309"/>
      <c r="I463" s="309"/>
      <c r="J463" s="309"/>
      <c r="K463" s="309"/>
      <c r="L463" s="309"/>
      <c r="M463" s="309"/>
      <c r="N463" s="309"/>
    </row>
    <row r="464" spans="6:14">
      <c r="F464" s="309"/>
      <c r="G464" s="309"/>
      <c r="H464" s="309"/>
      <c r="I464" s="309"/>
      <c r="J464" s="309"/>
      <c r="K464" s="309"/>
      <c r="L464" s="309"/>
      <c r="M464" s="309"/>
      <c r="N464" s="309"/>
    </row>
    <row r="465" spans="6:14">
      <c r="F465" s="309"/>
      <c r="G465" s="309"/>
      <c r="H465" s="309"/>
      <c r="I465" s="309"/>
      <c r="J465" s="309"/>
      <c r="K465" s="309"/>
      <c r="L465" s="309"/>
      <c r="M465" s="309"/>
      <c r="N465" s="309"/>
    </row>
    <row r="466" spans="6:14">
      <c r="F466" s="309"/>
      <c r="G466" s="309"/>
      <c r="H466" s="309"/>
      <c r="I466" s="309"/>
      <c r="J466" s="309"/>
      <c r="K466" s="309"/>
      <c r="L466" s="309"/>
      <c r="M466" s="309"/>
      <c r="N466" s="309"/>
    </row>
    <row r="467" spans="6:14">
      <c r="F467" s="309"/>
      <c r="G467" s="309"/>
      <c r="H467" s="309"/>
      <c r="I467" s="309"/>
      <c r="J467" s="309"/>
      <c r="K467" s="309"/>
      <c r="L467" s="309"/>
      <c r="M467" s="309"/>
      <c r="N467" s="309"/>
    </row>
    <row r="468" spans="6:14">
      <c r="F468" s="309"/>
      <c r="G468" s="309"/>
      <c r="H468" s="309"/>
      <c r="I468" s="309"/>
      <c r="J468" s="309"/>
      <c r="K468" s="309"/>
      <c r="L468" s="309"/>
      <c r="M468" s="309"/>
      <c r="N468" s="309"/>
    </row>
    <row r="469" spans="6:14">
      <c r="F469" s="309"/>
      <c r="G469" s="309"/>
      <c r="H469" s="309"/>
      <c r="I469" s="309"/>
      <c r="J469" s="309"/>
      <c r="K469" s="309"/>
      <c r="L469" s="309"/>
      <c r="M469" s="309"/>
      <c r="N469" s="309"/>
    </row>
    <row r="470" spans="6:14">
      <c r="F470" s="309"/>
      <c r="G470" s="309"/>
      <c r="H470" s="309"/>
      <c r="I470" s="309"/>
      <c r="J470" s="309"/>
      <c r="K470" s="309"/>
      <c r="L470" s="309"/>
      <c r="M470" s="309"/>
      <c r="N470" s="309"/>
    </row>
    <row r="471" spans="6:14">
      <c r="F471" s="309"/>
      <c r="G471" s="309"/>
      <c r="H471" s="309"/>
      <c r="I471" s="309"/>
      <c r="J471" s="309"/>
      <c r="K471" s="309"/>
      <c r="L471" s="309"/>
      <c r="M471" s="309"/>
      <c r="N471" s="309"/>
    </row>
    <row r="472" spans="6:14">
      <c r="F472" s="309"/>
      <c r="G472" s="309"/>
      <c r="H472" s="309"/>
      <c r="I472" s="309"/>
      <c r="J472" s="309"/>
      <c r="K472" s="309"/>
      <c r="L472" s="309"/>
      <c r="M472" s="309"/>
      <c r="N472" s="309"/>
    </row>
    <row r="473" spans="6:14">
      <c r="F473" s="309"/>
      <c r="G473" s="309"/>
      <c r="H473" s="309"/>
      <c r="I473" s="309"/>
      <c r="J473" s="309"/>
      <c r="K473" s="309"/>
      <c r="L473" s="309"/>
      <c r="M473" s="309"/>
      <c r="N473" s="309"/>
    </row>
    <row r="474" spans="6:14">
      <c r="F474" s="309"/>
      <c r="G474" s="309"/>
      <c r="H474" s="309"/>
      <c r="I474" s="309"/>
      <c r="J474" s="309"/>
      <c r="K474" s="309"/>
      <c r="L474" s="309"/>
      <c r="M474" s="309"/>
      <c r="N474" s="309"/>
    </row>
    <row r="475" spans="6:14">
      <c r="F475" s="309"/>
      <c r="G475" s="309"/>
      <c r="H475" s="309"/>
      <c r="I475" s="309"/>
      <c r="J475" s="309"/>
      <c r="K475" s="309"/>
      <c r="L475" s="309"/>
      <c r="M475" s="309"/>
      <c r="N475" s="309"/>
    </row>
    <row r="476" spans="6:14">
      <c r="F476" s="309"/>
      <c r="G476" s="309"/>
      <c r="H476" s="309"/>
      <c r="I476" s="309"/>
      <c r="J476" s="309"/>
      <c r="K476" s="309"/>
      <c r="L476" s="309"/>
      <c r="M476" s="309"/>
      <c r="N476" s="309"/>
    </row>
    <row r="477" spans="6:14">
      <c r="F477" s="309"/>
      <c r="G477" s="309"/>
      <c r="H477" s="309"/>
      <c r="I477" s="309"/>
      <c r="J477" s="309"/>
      <c r="K477" s="309"/>
      <c r="L477" s="309"/>
      <c r="M477" s="309"/>
      <c r="N477" s="309"/>
    </row>
    <row r="478" spans="6:14">
      <c r="F478" s="309"/>
      <c r="G478" s="309"/>
      <c r="H478" s="309"/>
      <c r="I478" s="309"/>
      <c r="J478" s="309"/>
      <c r="K478" s="309"/>
      <c r="L478" s="309"/>
      <c r="M478" s="309"/>
      <c r="N478" s="309"/>
    </row>
    <row r="479" spans="6:14">
      <c r="F479" s="309"/>
      <c r="G479" s="309"/>
      <c r="H479" s="309"/>
      <c r="I479" s="309"/>
      <c r="J479" s="309"/>
      <c r="K479" s="309"/>
      <c r="L479" s="309"/>
      <c r="M479" s="309"/>
      <c r="N479" s="309"/>
    </row>
    <row r="480" spans="6:14">
      <c r="F480" s="309"/>
      <c r="G480" s="309"/>
      <c r="H480" s="309"/>
      <c r="I480" s="309"/>
      <c r="J480" s="309"/>
      <c r="K480" s="309"/>
      <c r="L480" s="309"/>
      <c r="M480" s="309"/>
      <c r="N480" s="309"/>
    </row>
    <row r="481" spans="6:14">
      <c r="F481" s="309"/>
      <c r="G481" s="309"/>
      <c r="H481" s="309"/>
      <c r="I481" s="309"/>
      <c r="J481" s="309"/>
      <c r="K481" s="309"/>
      <c r="L481" s="309"/>
      <c r="M481" s="309"/>
      <c r="N481" s="309"/>
    </row>
    <row r="482" spans="6:14">
      <c r="F482" s="309"/>
      <c r="G482" s="309"/>
      <c r="H482" s="309"/>
      <c r="I482" s="309"/>
      <c r="J482" s="309"/>
      <c r="K482" s="309"/>
      <c r="L482" s="309"/>
      <c r="M482" s="309"/>
      <c r="N482" s="309"/>
    </row>
    <row r="483" spans="6:14">
      <c r="F483" s="309"/>
      <c r="G483" s="309"/>
      <c r="H483" s="309"/>
      <c r="I483" s="309"/>
      <c r="J483" s="309"/>
      <c r="K483" s="309"/>
      <c r="L483" s="309"/>
      <c r="M483" s="309"/>
      <c r="N483" s="309"/>
    </row>
    <row r="484" spans="6:14">
      <c r="F484" s="309"/>
      <c r="G484" s="309"/>
      <c r="H484" s="309"/>
      <c r="I484" s="309"/>
      <c r="J484" s="309"/>
      <c r="K484" s="309"/>
      <c r="L484" s="309"/>
      <c r="M484" s="309"/>
      <c r="N484" s="309"/>
    </row>
    <row r="485" spans="6:14">
      <c r="F485" s="309"/>
      <c r="G485" s="309"/>
      <c r="H485" s="309"/>
      <c r="I485" s="309"/>
      <c r="J485" s="309"/>
      <c r="K485" s="309"/>
      <c r="L485" s="309"/>
      <c r="M485" s="309"/>
      <c r="N485" s="309"/>
    </row>
    <row r="486" spans="6:14">
      <c r="F486" s="309"/>
      <c r="G486" s="309"/>
      <c r="H486" s="309"/>
      <c r="I486" s="309"/>
      <c r="J486" s="309"/>
      <c r="K486" s="309"/>
      <c r="L486" s="309"/>
      <c r="M486" s="309"/>
      <c r="N486" s="309"/>
    </row>
    <row r="487" spans="6:14">
      <c r="F487" s="309"/>
      <c r="G487" s="309"/>
      <c r="H487" s="309"/>
      <c r="I487" s="309"/>
      <c r="J487" s="309"/>
      <c r="K487" s="309"/>
      <c r="L487" s="309"/>
      <c r="M487" s="309"/>
      <c r="N487" s="309"/>
    </row>
    <row r="488" spans="6:14">
      <c r="F488" s="309"/>
      <c r="G488" s="309"/>
      <c r="H488" s="309"/>
      <c r="I488" s="309"/>
      <c r="J488" s="309"/>
      <c r="K488" s="309"/>
      <c r="L488" s="309"/>
      <c r="M488" s="309"/>
      <c r="N488" s="309"/>
    </row>
    <row r="489" spans="6:14">
      <c r="F489" s="309"/>
      <c r="G489" s="309"/>
      <c r="H489" s="309"/>
      <c r="I489" s="309"/>
      <c r="J489" s="309"/>
      <c r="K489" s="309"/>
      <c r="L489" s="309"/>
      <c r="M489" s="309"/>
      <c r="N489" s="309"/>
    </row>
    <row r="490" spans="6:14">
      <c r="F490" s="309"/>
      <c r="G490" s="309"/>
      <c r="H490" s="309"/>
      <c r="I490" s="309"/>
      <c r="J490" s="309"/>
      <c r="K490" s="309"/>
      <c r="L490" s="309"/>
      <c r="M490" s="309"/>
      <c r="N490" s="309"/>
    </row>
    <row r="491" spans="6:14">
      <c r="F491" s="309"/>
      <c r="G491" s="309"/>
      <c r="H491" s="309"/>
      <c r="I491" s="309"/>
      <c r="J491" s="309"/>
      <c r="K491" s="309"/>
      <c r="L491" s="309"/>
      <c r="M491" s="309"/>
      <c r="N491" s="309"/>
    </row>
    <row r="492" spans="6:14">
      <c r="F492" s="309"/>
      <c r="G492" s="309"/>
      <c r="H492" s="309"/>
      <c r="I492" s="309"/>
      <c r="J492" s="309"/>
      <c r="K492" s="309"/>
      <c r="L492" s="309"/>
      <c r="M492" s="309"/>
      <c r="N492" s="309"/>
    </row>
    <row r="493" spans="6:14">
      <c r="F493" s="309"/>
      <c r="G493" s="309"/>
      <c r="H493" s="309"/>
      <c r="I493" s="309"/>
      <c r="J493" s="309"/>
      <c r="K493" s="309"/>
      <c r="L493" s="309"/>
      <c r="M493" s="309"/>
      <c r="N493" s="309"/>
    </row>
    <row r="494" spans="6:14">
      <c r="F494" s="309"/>
      <c r="G494" s="309"/>
      <c r="H494" s="309"/>
      <c r="I494" s="309"/>
      <c r="J494" s="309"/>
      <c r="K494" s="309"/>
      <c r="L494" s="309"/>
      <c r="M494" s="309"/>
      <c r="N494" s="309"/>
    </row>
    <row r="495" spans="6:14">
      <c r="F495" s="309"/>
      <c r="G495" s="309"/>
      <c r="H495" s="309"/>
      <c r="I495" s="309"/>
      <c r="J495" s="309"/>
      <c r="K495" s="309"/>
      <c r="L495" s="309"/>
      <c r="M495" s="309"/>
      <c r="N495" s="309"/>
    </row>
    <row r="496" spans="6:14">
      <c r="F496" s="309"/>
      <c r="G496" s="309"/>
      <c r="H496" s="309"/>
      <c r="I496" s="309"/>
      <c r="J496" s="309"/>
      <c r="K496" s="309"/>
      <c r="L496" s="309"/>
      <c r="M496" s="309"/>
      <c r="N496" s="309"/>
    </row>
    <row r="497" spans="6:14">
      <c r="F497" s="309"/>
      <c r="G497" s="309"/>
      <c r="H497" s="309"/>
      <c r="I497" s="309"/>
      <c r="J497" s="309"/>
      <c r="K497" s="309"/>
      <c r="L497" s="309"/>
      <c r="M497" s="309"/>
      <c r="N497" s="309"/>
    </row>
    <row r="498" spans="6:14">
      <c r="F498" s="309"/>
      <c r="G498" s="309"/>
      <c r="H498" s="309"/>
      <c r="I498" s="309"/>
      <c r="J498" s="309"/>
      <c r="K498" s="309"/>
      <c r="L498" s="309"/>
      <c r="M498" s="309"/>
      <c r="N498" s="309"/>
    </row>
    <row r="499" spans="6:14">
      <c r="F499" s="309"/>
      <c r="G499" s="309"/>
      <c r="H499" s="309"/>
      <c r="I499" s="309"/>
      <c r="J499" s="309"/>
      <c r="K499" s="309"/>
      <c r="L499" s="309"/>
      <c r="M499" s="309"/>
      <c r="N499" s="309"/>
    </row>
    <row r="500" spans="6:14">
      <c r="F500" s="309"/>
      <c r="G500" s="309"/>
      <c r="H500" s="309"/>
      <c r="I500" s="309"/>
      <c r="J500" s="309"/>
      <c r="K500" s="309"/>
      <c r="L500" s="309"/>
      <c r="M500" s="309"/>
      <c r="N500" s="309"/>
    </row>
    <row r="501" spans="6:14">
      <c r="F501" s="309"/>
      <c r="G501" s="309"/>
      <c r="H501" s="309"/>
      <c r="I501" s="309"/>
      <c r="J501" s="309"/>
      <c r="K501" s="309"/>
      <c r="L501" s="309"/>
      <c r="M501" s="309"/>
      <c r="N501" s="309"/>
    </row>
    <row r="502" spans="6:14">
      <c r="F502" s="309"/>
      <c r="G502" s="309"/>
      <c r="H502" s="309"/>
      <c r="I502" s="309"/>
      <c r="J502" s="309"/>
      <c r="K502" s="309"/>
      <c r="L502" s="309"/>
      <c r="M502" s="309"/>
      <c r="N502" s="309"/>
    </row>
    <row r="503" spans="6:14">
      <c r="F503" s="309"/>
      <c r="G503" s="309"/>
      <c r="H503" s="309"/>
      <c r="I503" s="309"/>
      <c r="J503" s="309"/>
      <c r="K503" s="309"/>
      <c r="L503" s="309"/>
      <c r="M503" s="309"/>
      <c r="N503" s="309"/>
    </row>
    <row r="504" spans="6:14">
      <c r="F504" s="309"/>
      <c r="G504" s="309"/>
      <c r="H504" s="309"/>
      <c r="I504" s="309"/>
      <c r="J504" s="309"/>
      <c r="K504" s="309"/>
      <c r="L504" s="309"/>
      <c r="M504" s="309"/>
      <c r="N504" s="309"/>
    </row>
    <row r="505" spans="6:14">
      <c r="F505" s="309"/>
      <c r="G505" s="309"/>
      <c r="H505" s="309"/>
      <c r="I505" s="309"/>
      <c r="J505" s="309"/>
      <c r="K505" s="309"/>
      <c r="L505" s="309"/>
      <c r="M505" s="309"/>
      <c r="N505" s="309"/>
    </row>
    <row r="506" spans="6:14">
      <c r="F506" s="309"/>
      <c r="G506" s="309"/>
      <c r="H506" s="309"/>
      <c r="I506" s="309"/>
      <c r="J506" s="309"/>
      <c r="K506" s="309"/>
      <c r="L506" s="309"/>
      <c r="M506" s="309"/>
      <c r="N506" s="309"/>
    </row>
    <row r="507" spans="6:14">
      <c r="F507" s="309"/>
      <c r="G507" s="309"/>
      <c r="H507" s="309"/>
      <c r="I507" s="309"/>
      <c r="J507" s="309"/>
      <c r="K507" s="309"/>
      <c r="L507" s="309"/>
      <c r="M507" s="309"/>
      <c r="N507" s="309"/>
    </row>
    <row r="508" spans="6:14">
      <c r="F508" s="309"/>
      <c r="G508" s="309"/>
      <c r="H508" s="309"/>
      <c r="I508" s="309"/>
      <c r="J508" s="309"/>
      <c r="K508" s="309"/>
      <c r="L508" s="309"/>
      <c r="M508" s="309"/>
      <c r="N508" s="309"/>
    </row>
    <row r="509" spans="6:14">
      <c r="F509" s="309"/>
      <c r="G509" s="309"/>
      <c r="H509" s="309"/>
      <c r="I509" s="309"/>
      <c r="J509" s="309"/>
      <c r="K509" s="309"/>
      <c r="L509" s="309"/>
      <c r="M509" s="309"/>
      <c r="N509" s="309"/>
    </row>
    <row r="510" spans="6:14">
      <c r="F510" s="309"/>
      <c r="G510" s="309"/>
      <c r="H510" s="309"/>
      <c r="I510" s="309"/>
      <c r="J510" s="309"/>
      <c r="K510" s="309"/>
      <c r="L510" s="309"/>
      <c r="M510" s="309"/>
      <c r="N510" s="309"/>
    </row>
    <row r="511" spans="6:14">
      <c r="F511" s="309"/>
      <c r="G511" s="309"/>
      <c r="H511" s="309"/>
      <c r="I511" s="309"/>
      <c r="J511" s="309"/>
      <c r="K511" s="309"/>
      <c r="L511" s="309"/>
      <c r="M511" s="309"/>
      <c r="N511" s="309"/>
    </row>
    <row r="512" spans="6:14">
      <c r="F512" s="309"/>
      <c r="G512" s="309"/>
      <c r="H512" s="309"/>
      <c r="I512" s="309"/>
      <c r="J512" s="309"/>
      <c r="K512" s="309"/>
      <c r="L512" s="309"/>
      <c r="M512" s="309"/>
      <c r="N512" s="309"/>
    </row>
    <row r="513" spans="6:14">
      <c r="F513" s="309"/>
      <c r="G513" s="309"/>
      <c r="H513" s="309"/>
      <c r="I513" s="309"/>
      <c r="J513" s="309"/>
      <c r="K513" s="309"/>
      <c r="L513" s="309"/>
      <c r="M513" s="309"/>
      <c r="N513" s="309"/>
    </row>
    <row r="514" spans="6:14">
      <c r="F514" s="309"/>
      <c r="G514" s="309"/>
      <c r="H514" s="309"/>
      <c r="I514" s="309"/>
      <c r="J514" s="309"/>
      <c r="K514" s="309"/>
      <c r="L514" s="309"/>
      <c r="M514" s="309"/>
      <c r="N514" s="309"/>
    </row>
    <row r="515" spans="6:14">
      <c r="F515" s="309"/>
      <c r="G515" s="309"/>
      <c r="H515" s="309"/>
      <c r="I515" s="309"/>
      <c r="J515" s="309"/>
      <c r="K515" s="309"/>
      <c r="L515" s="309"/>
      <c r="M515" s="309"/>
      <c r="N515" s="309"/>
    </row>
    <row r="516" spans="6:14">
      <c r="F516" s="309"/>
      <c r="G516" s="309"/>
      <c r="H516" s="309"/>
      <c r="I516" s="309"/>
      <c r="J516" s="309"/>
      <c r="K516" s="309"/>
      <c r="L516" s="309"/>
      <c r="M516" s="309"/>
      <c r="N516" s="309"/>
    </row>
    <row r="517" spans="6:14">
      <c r="F517" s="309"/>
      <c r="G517" s="309"/>
      <c r="H517" s="309"/>
      <c r="I517" s="309"/>
      <c r="J517" s="309"/>
      <c r="K517" s="309"/>
      <c r="L517" s="309"/>
      <c r="M517" s="309"/>
      <c r="N517" s="309"/>
    </row>
    <row r="518" spans="6:14">
      <c r="F518" s="309"/>
      <c r="G518" s="309"/>
      <c r="H518" s="309"/>
      <c r="I518" s="309"/>
      <c r="J518" s="309"/>
      <c r="K518" s="309"/>
      <c r="L518" s="309"/>
      <c r="M518" s="309"/>
      <c r="N518" s="309"/>
    </row>
    <row r="519" spans="6:14">
      <c r="F519" s="309"/>
      <c r="G519" s="309"/>
      <c r="H519" s="309"/>
      <c r="I519" s="309"/>
      <c r="J519" s="309"/>
      <c r="K519" s="309"/>
      <c r="L519" s="309"/>
      <c r="M519" s="309"/>
      <c r="N519" s="309"/>
    </row>
    <row r="520" spans="6:14">
      <c r="F520" s="309"/>
      <c r="G520" s="309"/>
      <c r="H520" s="309"/>
      <c r="I520" s="309"/>
      <c r="J520" s="309"/>
      <c r="K520" s="309"/>
      <c r="L520" s="309"/>
      <c r="M520" s="309"/>
      <c r="N520" s="309"/>
    </row>
    <row r="521" spans="6:14">
      <c r="F521" s="309"/>
      <c r="G521" s="309"/>
      <c r="H521" s="309"/>
      <c r="I521" s="309"/>
      <c r="J521" s="309"/>
      <c r="K521" s="309"/>
      <c r="L521" s="309"/>
      <c r="M521" s="309"/>
      <c r="N521" s="309"/>
    </row>
    <row r="522" spans="6:14">
      <c r="F522" s="309"/>
      <c r="G522" s="309"/>
      <c r="H522" s="309"/>
      <c r="I522" s="309"/>
      <c r="J522" s="309"/>
      <c r="K522" s="309"/>
      <c r="L522" s="309"/>
      <c r="M522" s="309"/>
      <c r="N522" s="309"/>
    </row>
    <row r="523" spans="6:14">
      <c r="F523" s="309"/>
      <c r="G523" s="309"/>
      <c r="H523" s="309"/>
      <c r="I523" s="309"/>
      <c r="J523" s="309"/>
      <c r="K523" s="309"/>
      <c r="L523" s="309"/>
      <c r="M523" s="309"/>
      <c r="N523" s="309"/>
    </row>
    <row r="524" spans="6:14">
      <c r="F524" s="309"/>
      <c r="G524" s="309"/>
      <c r="H524" s="309"/>
      <c r="I524" s="309"/>
      <c r="J524" s="309"/>
      <c r="K524" s="309"/>
      <c r="L524" s="309"/>
      <c r="M524" s="309"/>
      <c r="N524" s="309"/>
    </row>
    <row r="525" spans="6:14">
      <c r="F525" s="309"/>
      <c r="G525" s="309"/>
      <c r="H525" s="309"/>
      <c r="I525" s="309"/>
      <c r="J525" s="309"/>
      <c r="K525" s="309"/>
      <c r="L525" s="309"/>
      <c r="M525" s="309"/>
      <c r="N525" s="309"/>
    </row>
    <row r="526" spans="6:14">
      <c r="F526" s="309"/>
      <c r="G526" s="309"/>
      <c r="H526" s="309"/>
      <c r="I526" s="309"/>
      <c r="J526" s="309"/>
      <c r="K526" s="309"/>
      <c r="L526" s="309"/>
      <c r="M526" s="309"/>
      <c r="N526" s="309"/>
    </row>
    <row r="527" spans="6:14">
      <c r="F527" s="309"/>
      <c r="G527" s="309"/>
      <c r="H527" s="309"/>
      <c r="I527" s="309"/>
      <c r="J527" s="309"/>
      <c r="K527" s="309"/>
      <c r="L527" s="309"/>
      <c r="M527" s="309"/>
      <c r="N527" s="309"/>
    </row>
    <row r="528" spans="6:14">
      <c r="F528" s="309"/>
      <c r="G528" s="309"/>
      <c r="H528" s="309"/>
      <c r="I528" s="309"/>
      <c r="J528" s="309"/>
      <c r="K528" s="309"/>
      <c r="L528" s="309"/>
      <c r="M528" s="309"/>
      <c r="N528" s="309"/>
    </row>
    <row r="529" spans="6:14">
      <c r="F529" s="309"/>
      <c r="G529" s="309"/>
      <c r="H529" s="309"/>
      <c r="I529" s="309"/>
      <c r="J529" s="309"/>
      <c r="K529" s="309"/>
      <c r="L529" s="309"/>
      <c r="M529" s="309"/>
      <c r="N529" s="309"/>
    </row>
    <row r="530" spans="6:14">
      <c r="F530" s="309"/>
      <c r="G530" s="309"/>
      <c r="H530" s="309"/>
      <c r="I530" s="309"/>
      <c r="J530" s="309"/>
      <c r="K530" s="309"/>
      <c r="L530" s="309"/>
      <c r="M530" s="309"/>
      <c r="N530" s="309"/>
    </row>
    <row r="531" spans="6:14">
      <c r="F531" s="309"/>
      <c r="G531" s="309"/>
      <c r="H531" s="309"/>
      <c r="I531" s="309"/>
      <c r="J531" s="309"/>
      <c r="K531" s="309"/>
      <c r="L531" s="309"/>
      <c r="M531" s="309"/>
      <c r="N531" s="309"/>
    </row>
    <row r="532" spans="6:14">
      <c r="F532" s="309"/>
      <c r="G532" s="309"/>
      <c r="H532" s="309"/>
      <c r="I532" s="309"/>
      <c r="J532" s="309"/>
      <c r="K532" s="309"/>
      <c r="L532" s="309"/>
      <c r="M532" s="309"/>
      <c r="N532" s="309"/>
    </row>
    <row r="533" spans="6:14">
      <c r="F533" s="309"/>
      <c r="G533" s="309"/>
      <c r="H533" s="309"/>
      <c r="I533" s="309"/>
      <c r="J533" s="309"/>
      <c r="K533" s="309"/>
      <c r="L533" s="309"/>
      <c r="M533" s="309"/>
      <c r="N533" s="309"/>
    </row>
    <row r="534" spans="6:14">
      <c r="F534" s="309"/>
      <c r="G534" s="309"/>
      <c r="H534" s="309"/>
      <c r="I534" s="309"/>
      <c r="J534" s="309"/>
      <c r="K534" s="309"/>
      <c r="L534" s="309"/>
      <c r="M534" s="309"/>
      <c r="N534" s="309"/>
    </row>
    <row r="535" spans="6:14">
      <c r="F535" s="309"/>
      <c r="G535" s="309"/>
      <c r="H535" s="309"/>
      <c r="I535" s="309"/>
      <c r="J535" s="309"/>
      <c r="K535" s="309"/>
      <c r="L535" s="309"/>
      <c r="M535" s="309"/>
      <c r="N535" s="309"/>
    </row>
    <row r="536" spans="6:14">
      <c r="F536" s="309"/>
      <c r="G536" s="309"/>
      <c r="H536" s="309"/>
      <c r="I536" s="309"/>
      <c r="J536" s="309"/>
      <c r="K536" s="309"/>
      <c r="L536" s="309"/>
      <c r="M536" s="309"/>
      <c r="N536" s="309"/>
    </row>
    <row r="537" spans="6:14">
      <c r="F537" s="309"/>
      <c r="G537" s="309"/>
      <c r="H537" s="309"/>
      <c r="I537" s="309"/>
      <c r="J537" s="309"/>
      <c r="K537" s="309"/>
      <c r="L537" s="309"/>
      <c r="M537" s="309"/>
      <c r="N537" s="309"/>
    </row>
    <row r="538" spans="6:14">
      <c r="F538" s="309"/>
      <c r="G538" s="309"/>
      <c r="H538" s="309"/>
      <c r="I538" s="309"/>
      <c r="J538" s="309"/>
      <c r="K538" s="309"/>
      <c r="L538" s="309"/>
      <c r="M538" s="309"/>
      <c r="N538" s="309"/>
    </row>
    <row r="539" spans="6:14">
      <c r="F539" s="309"/>
      <c r="G539" s="309"/>
      <c r="H539" s="309"/>
      <c r="I539" s="309"/>
      <c r="J539" s="309"/>
      <c r="K539" s="309"/>
      <c r="L539" s="309"/>
      <c r="M539" s="309"/>
      <c r="N539" s="309"/>
    </row>
    <row r="540" spans="6:14">
      <c r="F540" s="309"/>
      <c r="G540" s="309"/>
      <c r="H540" s="309"/>
      <c r="I540" s="309"/>
      <c r="J540" s="309"/>
      <c r="K540" s="309"/>
      <c r="L540" s="309"/>
      <c r="M540" s="309"/>
      <c r="N540" s="309"/>
    </row>
    <row r="541" spans="6:14">
      <c r="F541" s="309"/>
      <c r="G541" s="309"/>
      <c r="H541" s="309"/>
      <c r="I541" s="309"/>
      <c r="J541" s="309"/>
      <c r="K541" s="309"/>
      <c r="L541" s="309"/>
      <c r="M541" s="309"/>
      <c r="N541" s="309"/>
    </row>
    <row r="542" spans="6:14">
      <c r="F542" s="309"/>
      <c r="G542" s="309"/>
      <c r="H542" s="309"/>
      <c r="I542" s="309"/>
      <c r="J542" s="309"/>
      <c r="K542" s="309"/>
      <c r="L542" s="309"/>
      <c r="M542" s="309"/>
      <c r="N542" s="309"/>
    </row>
    <row r="543" spans="6:14">
      <c r="F543" s="309"/>
      <c r="G543" s="309"/>
      <c r="H543" s="309"/>
      <c r="I543" s="309"/>
      <c r="J543" s="309"/>
      <c r="K543" s="309"/>
      <c r="L543" s="309"/>
      <c r="M543" s="309"/>
      <c r="N543" s="309"/>
    </row>
    <row r="544" spans="6:14">
      <c r="F544" s="309"/>
      <c r="G544" s="309"/>
      <c r="H544" s="309"/>
      <c r="I544" s="309"/>
      <c r="J544" s="309"/>
      <c r="K544" s="309"/>
      <c r="L544" s="309"/>
      <c r="M544" s="309"/>
      <c r="N544" s="309"/>
    </row>
    <row r="545" spans="6:14">
      <c r="F545" s="309"/>
      <c r="G545" s="309"/>
      <c r="H545" s="309"/>
      <c r="I545" s="309"/>
      <c r="J545" s="309"/>
      <c r="K545" s="309"/>
      <c r="L545" s="309"/>
      <c r="M545" s="309"/>
      <c r="N545" s="309"/>
    </row>
    <row r="546" spans="6:14">
      <c r="F546" s="309"/>
      <c r="G546" s="309"/>
      <c r="H546" s="309"/>
      <c r="I546" s="309"/>
      <c r="J546" s="309"/>
      <c r="K546" s="309"/>
      <c r="L546" s="309"/>
      <c r="M546" s="309"/>
      <c r="N546" s="309"/>
    </row>
    <row r="547" spans="6:14">
      <c r="F547" s="309"/>
      <c r="G547" s="309"/>
      <c r="H547" s="309"/>
      <c r="I547" s="309"/>
      <c r="J547" s="309"/>
      <c r="K547" s="309"/>
      <c r="L547" s="309"/>
      <c r="M547" s="309"/>
      <c r="N547" s="309"/>
    </row>
    <row r="548" spans="6:14">
      <c r="F548" s="309"/>
      <c r="G548" s="309"/>
      <c r="H548" s="309"/>
      <c r="I548" s="309"/>
      <c r="J548" s="309"/>
      <c r="K548" s="309"/>
      <c r="L548" s="309"/>
      <c r="M548" s="309"/>
      <c r="N548" s="309"/>
    </row>
    <row r="549" spans="6:14">
      <c r="F549" s="309"/>
      <c r="G549" s="309"/>
      <c r="H549" s="309"/>
      <c r="I549" s="309"/>
      <c r="J549" s="309"/>
      <c r="K549" s="309"/>
      <c r="L549" s="309"/>
      <c r="M549" s="309"/>
      <c r="N549" s="309"/>
    </row>
    <row r="550" spans="6:14">
      <c r="F550" s="309"/>
      <c r="G550" s="309"/>
      <c r="H550" s="309"/>
      <c r="I550" s="309"/>
      <c r="J550" s="309"/>
      <c r="K550" s="309"/>
      <c r="L550" s="309"/>
      <c r="M550" s="309"/>
      <c r="N550" s="309"/>
    </row>
    <row r="551" spans="6:14">
      <c r="F551" s="309"/>
      <c r="G551" s="309"/>
      <c r="H551" s="309"/>
      <c r="I551" s="309"/>
      <c r="J551" s="309"/>
      <c r="K551" s="309"/>
      <c r="L551" s="309"/>
      <c r="M551" s="309"/>
      <c r="N551" s="309"/>
    </row>
    <row r="552" spans="6:14">
      <c r="F552" s="309"/>
      <c r="G552" s="309"/>
      <c r="H552" s="309"/>
      <c r="I552" s="309"/>
      <c r="J552" s="309"/>
      <c r="K552" s="309"/>
      <c r="L552" s="309"/>
      <c r="M552" s="309"/>
      <c r="N552" s="309"/>
    </row>
    <row r="553" spans="6:14">
      <c r="F553" s="309"/>
      <c r="G553" s="309"/>
      <c r="H553" s="309"/>
      <c r="I553" s="309"/>
      <c r="J553" s="309"/>
      <c r="K553" s="309"/>
      <c r="L553" s="309"/>
      <c r="M553" s="309"/>
      <c r="N553" s="309"/>
    </row>
    <row r="554" spans="6:14">
      <c r="F554" s="309"/>
      <c r="G554" s="309"/>
      <c r="H554" s="309"/>
      <c r="I554" s="309"/>
      <c r="J554" s="309"/>
      <c r="K554" s="309"/>
      <c r="L554" s="309"/>
      <c r="M554" s="309"/>
      <c r="N554" s="309"/>
    </row>
    <row r="555" spans="6:14">
      <c r="F555" s="309"/>
      <c r="G555" s="309"/>
      <c r="H555" s="309"/>
      <c r="I555" s="309"/>
      <c r="J555" s="309"/>
      <c r="K555" s="309"/>
      <c r="L555" s="309"/>
      <c r="M555" s="309"/>
      <c r="N555" s="309"/>
    </row>
    <row r="556" spans="6:14">
      <c r="F556" s="309"/>
      <c r="G556" s="309"/>
      <c r="H556" s="309"/>
      <c r="I556" s="309"/>
      <c r="J556" s="309"/>
      <c r="K556" s="309"/>
      <c r="L556" s="309"/>
      <c r="M556" s="309"/>
      <c r="N556" s="309"/>
    </row>
    <row r="557" spans="6:14">
      <c r="F557" s="309"/>
      <c r="G557" s="309"/>
      <c r="H557" s="309"/>
      <c r="I557" s="309"/>
      <c r="J557" s="309"/>
      <c r="K557" s="309"/>
      <c r="L557" s="309"/>
      <c r="M557" s="309"/>
      <c r="N557" s="309"/>
    </row>
    <row r="558" spans="6:14">
      <c r="F558" s="309"/>
      <c r="G558" s="309"/>
      <c r="H558" s="309"/>
      <c r="I558" s="309"/>
      <c r="J558" s="309"/>
      <c r="K558" s="309"/>
      <c r="L558" s="309"/>
      <c r="M558" s="309"/>
      <c r="N558" s="309"/>
    </row>
    <row r="559" spans="6:14">
      <c r="F559" s="309"/>
      <c r="G559" s="309"/>
      <c r="H559" s="309"/>
      <c r="I559" s="309"/>
      <c r="J559" s="309"/>
      <c r="K559" s="309"/>
      <c r="L559" s="309"/>
      <c r="M559" s="309"/>
      <c r="N559" s="309"/>
    </row>
    <row r="560" spans="6:14">
      <c r="F560" s="309"/>
      <c r="G560" s="309"/>
      <c r="H560" s="309"/>
      <c r="I560" s="309"/>
      <c r="J560" s="309"/>
      <c r="K560" s="309"/>
      <c r="L560" s="309"/>
      <c r="M560" s="309"/>
      <c r="N560" s="309"/>
    </row>
    <row r="561" spans="6:14">
      <c r="F561" s="309"/>
      <c r="G561" s="309"/>
      <c r="H561" s="309"/>
      <c r="I561" s="309"/>
      <c r="J561" s="309"/>
      <c r="K561" s="309"/>
      <c r="L561" s="309"/>
      <c r="M561" s="309"/>
      <c r="N561" s="309"/>
    </row>
    <row r="562" spans="6:14">
      <c r="F562" s="309"/>
      <c r="G562" s="309"/>
      <c r="H562" s="309"/>
      <c r="I562" s="309"/>
      <c r="J562" s="309"/>
      <c r="K562" s="309"/>
      <c r="L562" s="309"/>
      <c r="M562" s="309"/>
      <c r="N562" s="309"/>
    </row>
    <row r="563" spans="6:14">
      <c r="F563" s="309"/>
      <c r="G563" s="309"/>
      <c r="H563" s="309"/>
      <c r="I563" s="309"/>
      <c r="J563" s="309"/>
      <c r="K563" s="309"/>
      <c r="L563" s="309"/>
      <c r="M563" s="309"/>
      <c r="N563" s="309"/>
    </row>
    <row r="564" spans="6:14">
      <c r="F564" s="309"/>
      <c r="G564" s="309"/>
      <c r="H564" s="309"/>
      <c r="I564" s="309"/>
      <c r="J564" s="309"/>
      <c r="K564" s="309"/>
      <c r="L564" s="309"/>
      <c r="M564" s="309"/>
      <c r="N564" s="309"/>
    </row>
    <row r="565" spans="6:14">
      <c r="F565" s="309"/>
      <c r="G565" s="309"/>
      <c r="H565" s="309"/>
      <c r="I565" s="309"/>
      <c r="J565" s="309"/>
      <c r="K565" s="309"/>
      <c r="L565" s="309"/>
      <c r="M565" s="309"/>
      <c r="N565" s="309"/>
    </row>
    <row r="566" spans="6:14">
      <c r="F566" s="309"/>
      <c r="G566" s="309"/>
      <c r="H566" s="309"/>
      <c r="I566" s="309"/>
      <c r="J566" s="309"/>
      <c r="K566" s="309"/>
      <c r="L566" s="309"/>
      <c r="M566" s="309"/>
      <c r="N566" s="309"/>
    </row>
    <row r="567" spans="6:14">
      <c r="F567" s="309"/>
      <c r="G567" s="309"/>
      <c r="H567" s="309"/>
      <c r="I567" s="309"/>
      <c r="J567" s="309"/>
      <c r="K567" s="309"/>
      <c r="L567" s="309"/>
      <c r="M567" s="309"/>
      <c r="N567" s="309"/>
    </row>
    <row r="568" spans="6:14">
      <c r="F568" s="309"/>
      <c r="G568" s="309"/>
      <c r="H568" s="309"/>
      <c r="I568" s="309"/>
      <c r="J568" s="309"/>
      <c r="K568" s="309"/>
      <c r="L568" s="309"/>
      <c r="M568" s="309"/>
      <c r="N568" s="309"/>
    </row>
    <row r="569" spans="6:14">
      <c r="F569" s="309"/>
      <c r="G569" s="309"/>
      <c r="H569" s="309"/>
      <c r="I569" s="309"/>
      <c r="J569" s="309"/>
      <c r="K569" s="309"/>
      <c r="L569" s="309"/>
      <c r="M569" s="309"/>
      <c r="N569" s="309"/>
    </row>
    <row r="570" spans="6:14">
      <c r="F570" s="309"/>
      <c r="G570" s="309"/>
      <c r="H570" s="309"/>
      <c r="I570" s="309"/>
      <c r="J570" s="309"/>
      <c r="K570" s="309"/>
      <c r="L570" s="309"/>
      <c r="M570" s="309"/>
      <c r="N570" s="309"/>
    </row>
    <row r="571" spans="6:14">
      <c r="F571" s="309"/>
      <c r="G571" s="309"/>
      <c r="H571" s="309"/>
      <c r="I571" s="309"/>
      <c r="J571" s="309"/>
      <c r="K571" s="309"/>
      <c r="L571" s="309"/>
      <c r="M571" s="309"/>
      <c r="N571" s="309"/>
    </row>
    <row r="572" spans="6:14">
      <c r="F572" s="309"/>
      <c r="G572" s="309"/>
      <c r="H572" s="309"/>
      <c r="I572" s="309"/>
      <c r="J572" s="309"/>
      <c r="K572" s="309"/>
      <c r="L572" s="309"/>
      <c r="M572" s="309"/>
      <c r="N572" s="309"/>
    </row>
    <row r="573" spans="6:14">
      <c r="F573" s="309"/>
      <c r="G573" s="309"/>
      <c r="H573" s="309"/>
      <c r="I573" s="309"/>
      <c r="J573" s="309"/>
      <c r="K573" s="309"/>
      <c r="L573" s="309"/>
      <c r="M573" s="309"/>
      <c r="N573" s="309"/>
    </row>
  </sheetData>
  <mergeCells count="5">
    <mergeCell ref="A1:N1"/>
    <mergeCell ref="A2:N2"/>
    <mergeCell ref="A3:N3"/>
    <mergeCell ref="A50:H50"/>
    <mergeCell ref="J50:N50"/>
  </mergeCells>
  <pageMargins left="0.66929133858267698" right="0.66929133858267698" top="0.74803149606299202" bottom="1.0098425200000001" header="0.511811023622047" footer="0.511811023622047"/>
  <pageSetup paperSize="9" scale="99" orientation="portrait" r:id="rId1"/>
  <headerFooter alignWithMargins="0"/>
  <rowBreaks count="1" manualBreakCount="1">
    <brk id="2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120" zoomScaleNormal="100" zoomScaleSheetLayoutView="120" workbookViewId="0">
      <selection activeCell="N7" sqref="N7"/>
    </sheetView>
  </sheetViews>
  <sheetFormatPr defaultRowHeight="12.75"/>
  <cols>
    <col min="1" max="1" width="15.5703125" bestFit="1" customWidth="1"/>
    <col min="2" max="2" width="9.140625" customWidth="1"/>
    <col min="3" max="8" width="8.28515625" customWidth="1"/>
    <col min="9" max="9" width="8.28515625" style="152" customWidth="1"/>
    <col min="10" max="10" width="16.140625" customWidth="1"/>
  </cols>
  <sheetData>
    <row r="1" spans="1:19">
      <c r="A1" s="314" t="s">
        <v>137</v>
      </c>
      <c r="B1" s="314"/>
      <c r="C1" s="314"/>
      <c r="D1" s="314"/>
      <c r="E1" s="314"/>
      <c r="F1" s="314"/>
      <c r="G1" s="314"/>
      <c r="H1" s="314"/>
      <c r="I1" s="314"/>
      <c r="J1" s="329"/>
    </row>
    <row r="2" spans="1:19" ht="15.75">
      <c r="A2" s="315" t="s">
        <v>270</v>
      </c>
      <c r="B2" s="315"/>
      <c r="C2" s="315"/>
      <c r="D2" s="315"/>
      <c r="E2" s="315"/>
      <c r="F2" s="315"/>
      <c r="G2" s="315"/>
      <c r="H2" s="315"/>
      <c r="I2" s="315"/>
      <c r="J2" s="330"/>
    </row>
    <row r="3" spans="1:19">
      <c r="A3" s="316" t="s">
        <v>271</v>
      </c>
      <c r="B3" s="316"/>
      <c r="C3" s="316"/>
      <c r="D3" s="316"/>
      <c r="E3" s="316"/>
      <c r="F3" s="316"/>
      <c r="G3" s="316"/>
      <c r="H3" s="316"/>
      <c r="I3" s="316"/>
      <c r="J3" s="331"/>
    </row>
    <row r="4" spans="1:19" ht="11.25" customHeight="1" thickBot="1"/>
    <row r="5" spans="1:19" ht="25.5" customHeight="1" thickBot="1">
      <c r="A5" s="310" t="s">
        <v>1</v>
      </c>
      <c r="B5" s="311" t="s">
        <v>193</v>
      </c>
      <c r="C5" s="187">
        <v>2007</v>
      </c>
      <c r="D5" s="187">
        <v>2008</v>
      </c>
      <c r="E5" s="187">
        <v>2009</v>
      </c>
      <c r="F5" s="187">
        <v>2010</v>
      </c>
      <c r="G5" s="187">
        <v>2011</v>
      </c>
      <c r="H5" s="187">
        <v>2012</v>
      </c>
      <c r="I5" s="187">
        <v>2013</v>
      </c>
      <c r="J5" s="310" t="s">
        <v>108</v>
      </c>
    </row>
    <row r="6" spans="1:19" ht="25.5" customHeight="1">
      <c r="A6" s="149" t="s">
        <v>81</v>
      </c>
      <c r="B6" s="96">
        <v>1.1492</v>
      </c>
      <c r="C6" s="96">
        <v>100</v>
      </c>
      <c r="D6" s="96">
        <v>103.48260000000001</v>
      </c>
      <c r="E6" s="96">
        <v>106.3754</v>
      </c>
      <c r="F6" s="96">
        <v>108.4624</v>
      </c>
      <c r="G6" s="96">
        <v>108.0123</v>
      </c>
      <c r="H6" s="96">
        <v>111.05200000000001</v>
      </c>
      <c r="I6" s="96">
        <v>114.7144</v>
      </c>
      <c r="J6" s="149" t="s">
        <v>82</v>
      </c>
    </row>
    <row r="7" spans="1:19" ht="25.5" customHeight="1">
      <c r="A7" s="149" t="s">
        <v>109</v>
      </c>
      <c r="B7" s="96">
        <v>15.788399999999999</v>
      </c>
      <c r="C7" s="96">
        <v>100</v>
      </c>
      <c r="D7" s="96">
        <v>119.1011</v>
      </c>
      <c r="E7" s="96">
        <v>133.14609999999999</v>
      </c>
      <c r="F7" s="96">
        <v>148.03370000000001</v>
      </c>
      <c r="G7" s="96">
        <v>163.48310000000001</v>
      </c>
      <c r="H7" s="96">
        <v>175.56180000000001</v>
      </c>
      <c r="I7" s="96">
        <v>193.6798</v>
      </c>
      <c r="J7" s="149" t="s">
        <v>84</v>
      </c>
      <c r="N7" s="156"/>
      <c r="O7" s="156"/>
      <c r="P7" s="156"/>
      <c r="Q7" s="156"/>
      <c r="R7" s="156"/>
      <c r="S7" s="156"/>
    </row>
    <row r="8" spans="1:19" ht="25.5" customHeight="1">
      <c r="A8" s="149" t="s">
        <v>85</v>
      </c>
      <c r="B8" s="96">
        <v>5.6729000000000003</v>
      </c>
      <c r="C8" s="96">
        <v>100</v>
      </c>
      <c r="D8" s="95">
        <v>112.7</v>
      </c>
      <c r="E8" s="96">
        <v>122.1</v>
      </c>
      <c r="F8" s="96">
        <v>125.1</v>
      </c>
      <c r="G8" s="96">
        <v>132.1</v>
      </c>
      <c r="H8" s="96">
        <v>140.25829999999999</v>
      </c>
      <c r="I8" s="96">
        <v>142.75</v>
      </c>
      <c r="J8" s="149" t="s">
        <v>86</v>
      </c>
      <c r="N8" s="156"/>
      <c r="O8" s="156"/>
      <c r="P8" s="156"/>
      <c r="Q8" s="156"/>
      <c r="R8" s="156"/>
      <c r="S8" s="156"/>
    </row>
    <row r="9" spans="1:19" ht="25.5" customHeight="1">
      <c r="A9" s="149" t="s">
        <v>87</v>
      </c>
      <c r="B9" s="96">
        <v>2.4832000000000001</v>
      </c>
      <c r="C9" s="96">
        <v>100</v>
      </c>
      <c r="D9" s="96">
        <v>113.9393</v>
      </c>
      <c r="E9" s="96">
        <v>113.1755</v>
      </c>
      <c r="F9" s="96">
        <v>118.83710000000001</v>
      </c>
      <c r="G9" s="96">
        <v>124.0787</v>
      </c>
      <c r="H9" s="96">
        <v>129.67695179994243</v>
      </c>
      <c r="I9" s="96">
        <v>135.93031817221851</v>
      </c>
      <c r="J9" s="149" t="s">
        <v>88</v>
      </c>
      <c r="N9" s="156"/>
      <c r="O9" s="156"/>
      <c r="P9" s="156"/>
      <c r="Q9" s="156"/>
      <c r="R9" s="156"/>
      <c r="S9" s="156"/>
    </row>
    <row r="10" spans="1:19" ht="25.5" customHeight="1">
      <c r="A10" s="149" t="s">
        <v>89</v>
      </c>
      <c r="B10" s="96">
        <v>5.8421000000000003</v>
      </c>
      <c r="C10" s="96">
        <v>100</v>
      </c>
      <c r="D10" s="95">
        <v>110.5664</v>
      </c>
      <c r="E10" s="96">
        <v>111.2</v>
      </c>
      <c r="F10" s="96">
        <v>116.2</v>
      </c>
      <c r="G10" s="96">
        <v>121.9</v>
      </c>
      <c r="H10" s="96">
        <v>125.8</v>
      </c>
      <c r="I10" s="96">
        <v>129.19999999999999</v>
      </c>
      <c r="J10" s="149" t="s">
        <v>90</v>
      </c>
      <c r="N10" s="156"/>
      <c r="O10" s="156"/>
      <c r="P10" s="156"/>
      <c r="Q10" s="156"/>
      <c r="R10" s="156"/>
      <c r="S10" s="156"/>
    </row>
    <row r="11" spans="1:19" ht="25.5" customHeight="1">
      <c r="A11" s="149" t="s">
        <v>113</v>
      </c>
      <c r="B11" s="96">
        <v>3.4369999999999998</v>
      </c>
      <c r="C11" s="96">
        <v>100</v>
      </c>
      <c r="D11" s="96">
        <v>105.01</v>
      </c>
      <c r="E11" s="96">
        <v>106.28</v>
      </c>
      <c r="F11" s="96">
        <v>110.5</v>
      </c>
      <c r="G11" s="96">
        <v>116.01</v>
      </c>
      <c r="H11" s="96">
        <v>123.5395</v>
      </c>
      <c r="I11" s="96">
        <v>130.489498</v>
      </c>
      <c r="J11" s="149" t="s">
        <v>91</v>
      </c>
      <c r="N11" s="156"/>
      <c r="O11" s="156"/>
      <c r="P11" s="156"/>
      <c r="Q11" s="156"/>
      <c r="R11" s="156"/>
      <c r="S11" s="156"/>
    </row>
    <row r="12" spans="1:19" s="151" customFormat="1" ht="27.75" hidden="1" customHeight="1">
      <c r="A12" s="149" t="s">
        <v>206</v>
      </c>
      <c r="B12" s="96"/>
      <c r="C12" s="96">
        <v>100</v>
      </c>
      <c r="D12" s="96"/>
      <c r="E12" s="96"/>
      <c r="F12" s="96"/>
      <c r="G12" s="96"/>
      <c r="H12" s="96"/>
      <c r="I12" s="96"/>
      <c r="J12" s="149" t="s">
        <v>208</v>
      </c>
      <c r="N12" s="156"/>
      <c r="O12" s="156"/>
      <c r="P12" s="156"/>
      <c r="Q12" s="156"/>
      <c r="R12" s="156"/>
      <c r="S12" s="156"/>
    </row>
    <row r="13" spans="1:19" s="151" customFormat="1" ht="27.75" hidden="1" customHeight="1">
      <c r="A13" s="149" t="s">
        <v>209</v>
      </c>
      <c r="B13" s="96"/>
      <c r="C13" s="96">
        <v>100</v>
      </c>
      <c r="D13" s="96"/>
      <c r="E13" s="96"/>
      <c r="F13" s="96"/>
      <c r="G13" s="96"/>
      <c r="H13" s="96"/>
      <c r="I13" s="96"/>
      <c r="J13" s="149" t="s">
        <v>211</v>
      </c>
      <c r="N13" s="156"/>
      <c r="O13" s="156"/>
      <c r="P13" s="156"/>
      <c r="Q13" s="156"/>
      <c r="R13" s="156"/>
      <c r="S13" s="156"/>
    </row>
    <row r="14" spans="1:19" ht="25.5" customHeight="1">
      <c r="A14" s="149" t="s">
        <v>92</v>
      </c>
      <c r="B14" s="96">
        <v>2.1589</v>
      </c>
      <c r="C14" s="96">
        <v>100</v>
      </c>
      <c r="D14" s="96">
        <v>112.3878</v>
      </c>
      <c r="E14" s="96">
        <v>116.2478</v>
      </c>
      <c r="F14" s="96">
        <v>120.10558</v>
      </c>
      <c r="G14" s="96">
        <v>124.99209999999999</v>
      </c>
      <c r="H14" s="96">
        <v>128.59270000000001</v>
      </c>
      <c r="I14" s="96">
        <v>128.72129000000001</v>
      </c>
      <c r="J14" s="149" t="s">
        <v>183</v>
      </c>
      <c r="N14" s="156"/>
      <c r="O14" s="156"/>
      <c r="P14" s="156"/>
      <c r="Q14" s="156"/>
      <c r="R14" s="156"/>
      <c r="S14" s="156"/>
    </row>
    <row r="15" spans="1:19" ht="25.5" customHeight="1">
      <c r="A15" s="149" t="s">
        <v>94</v>
      </c>
      <c r="B15" s="96">
        <v>0.93320000000000003</v>
      </c>
      <c r="C15" s="96">
        <v>100</v>
      </c>
      <c r="D15" s="96">
        <v>109.89039343353262</v>
      </c>
      <c r="E15" s="96">
        <v>112.91623852221214</v>
      </c>
      <c r="F15" s="96">
        <v>117.1496324217127</v>
      </c>
      <c r="G15" s="96">
        <v>120.52071757025942</v>
      </c>
      <c r="H15" s="96">
        <v>123.8693981718518</v>
      </c>
      <c r="I15" s="96">
        <v>126.0012022972045</v>
      </c>
      <c r="J15" s="149" t="s">
        <v>95</v>
      </c>
      <c r="N15" s="156"/>
      <c r="O15" s="156"/>
      <c r="P15" s="156"/>
      <c r="Q15" s="156"/>
      <c r="R15" s="156"/>
      <c r="S15" s="156"/>
    </row>
    <row r="16" spans="1:19" ht="25.5" customHeight="1">
      <c r="A16" s="149" t="s">
        <v>96</v>
      </c>
      <c r="B16" s="96">
        <v>2.2854999999999999</v>
      </c>
      <c r="C16" s="96">
        <v>100</v>
      </c>
      <c r="D16" s="96">
        <v>115.175</v>
      </c>
      <c r="E16" s="96">
        <v>109.5438</v>
      </c>
      <c r="F16" s="96">
        <v>106.8733</v>
      </c>
      <c r="G16" s="96">
        <v>108.9333</v>
      </c>
      <c r="H16" s="96">
        <v>110.9592</v>
      </c>
      <c r="I16" s="96">
        <v>114.4417</v>
      </c>
      <c r="J16" s="149" t="s">
        <v>97</v>
      </c>
      <c r="N16" s="156"/>
      <c r="O16" s="156"/>
      <c r="P16" s="156"/>
      <c r="Q16" s="156"/>
      <c r="R16" s="156"/>
      <c r="S16" s="156"/>
    </row>
    <row r="17" spans="1:19" ht="25.5" customHeight="1">
      <c r="A17" s="149" t="s">
        <v>117</v>
      </c>
      <c r="B17" s="96">
        <v>19.37</v>
      </c>
      <c r="C17" s="96">
        <v>100</v>
      </c>
      <c r="D17" s="95">
        <v>106.1</v>
      </c>
      <c r="E17" s="96">
        <v>110.5</v>
      </c>
      <c r="F17" s="96">
        <v>114.7</v>
      </c>
      <c r="G17" s="96">
        <v>119</v>
      </c>
      <c r="H17" s="96">
        <v>122.4</v>
      </c>
      <c r="I17" s="96">
        <v>126.6917</v>
      </c>
      <c r="J17" s="149" t="s">
        <v>98</v>
      </c>
      <c r="N17" s="156"/>
      <c r="O17" s="156"/>
      <c r="P17" s="156"/>
      <c r="Q17" s="156"/>
      <c r="R17" s="156"/>
      <c r="S17" s="156"/>
    </row>
    <row r="18" spans="1:19" ht="25.5" customHeight="1">
      <c r="A18" s="149" t="s">
        <v>140</v>
      </c>
      <c r="B18" s="96">
        <v>7.2378</v>
      </c>
      <c r="C18" s="96">
        <v>100</v>
      </c>
      <c r="D18" s="96">
        <v>114.283</v>
      </c>
      <c r="E18" s="96">
        <f>D18*1.112</f>
        <v>127.08269600000001</v>
      </c>
      <c r="F18" s="96">
        <v>143.63999999999999</v>
      </c>
      <c r="G18" s="96">
        <v>169.70830000000001</v>
      </c>
      <c r="H18" s="96">
        <v>229.9734</v>
      </c>
      <c r="I18" s="96">
        <v>313.96719999999999</v>
      </c>
      <c r="J18" s="149" t="s">
        <v>114</v>
      </c>
      <c r="N18" s="156"/>
      <c r="O18" s="156"/>
      <c r="P18" s="156"/>
      <c r="Q18" s="156"/>
      <c r="R18" s="156"/>
      <c r="S18" s="156"/>
    </row>
    <row r="19" spans="1:19" ht="25.5" customHeight="1">
      <c r="A19" s="149" t="s">
        <v>99</v>
      </c>
      <c r="B19" s="96">
        <v>3.9891000000000001</v>
      </c>
      <c r="C19" s="96">
        <v>100</v>
      </c>
      <c r="D19" s="96">
        <v>115.15049999999999</v>
      </c>
      <c r="E19" s="96">
        <v>118.3771</v>
      </c>
      <c r="F19" s="96">
        <v>123.58669999999999</v>
      </c>
      <c r="G19" s="96">
        <v>129.45949999999999</v>
      </c>
      <c r="H19" s="96">
        <v>177.94040000000001</v>
      </c>
      <c r="I19" s="96">
        <v>337.3999</v>
      </c>
      <c r="J19" s="149" t="s">
        <v>110</v>
      </c>
      <c r="N19" s="156"/>
      <c r="O19" s="156"/>
      <c r="P19" s="156"/>
      <c r="Q19" s="156"/>
      <c r="R19" s="156"/>
      <c r="S19" s="156"/>
    </row>
    <row r="20" spans="1:19" s="151" customFormat="1" ht="27" hidden="1" customHeight="1">
      <c r="A20" s="149" t="s">
        <v>212</v>
      </c>
      <c r="B20" s="96"/>
      <c r="C20" s="96">
        <v>100</v>
      </c>
      <c r="D20" s="96"/>
      <c r="E20" s="96"/>
      <c r="F20" s="96"/>
      <c r="G20" s="96"/>
      <c r="H20" s="96"/>
      <c r="I20" s="96"/>
      <c r="J20" s="149" t="s">
        <v>213</v>
      </c>
      <c r="N20" s="156"/>
      <c r="O20" s="156"/>
      <c r="P20" s="156"/>
      <c r="Q20" s="156"/>
      <c r="R20" s="156"/>
      <c r="S20" s="156"/>
    </row>
    <row r="21" spans="1:19" ht="25.5" customHeight="1">
      <c r="A21" s="149" t="s">
        <v>101</v>
      </c>
      <c r="B21" s="96">
        <v>26.895199999999999</v>
      </c>
      <c r="C21" s="96">
        <v>100</v>
      </c>
      <c r="D21" s="96">
        <v>112.25</v>
      </c>
      <c r="E21" s="96">
        <v>114</v>
      </c>
      <c r="F21" s="96">
        <v>115</v>
      </c>
      <c r="G21" s="96">
        <v>116.01</v>
      </c>
      <c r="H21" s="96">
        <v>116.78</v>
      </c>
      <c r="I21" s="96">
        <v>118.07</v>
      </c>
      <c r="J21" s="149" t="s">
        <v>102</v>
      </c>
      <c r="N21" s="156"/>
      <c r="O21" s="156"/>
      <c r="P21" s="156"/>
      <c r="Q21" s="156"/>
      <c r="R21" s="156"/>
      <c r="S21" s="156"/>
    </row>
    <row r="22" spans="1:19" ht="25.5" customHeight="1">
      <c r="A22" s="181" t="s">
        <v>103</v>
      </c>
      <c r="B22" s="96">
        <v>2.7572000000000001</v>
      </c>
      <c r="C22" s="96">
        <v>100</v>
      </c>
      <c r="D22" s="96">
        <v>119.7587</v>
      </c>
      <c r="E22" s="96">
        <v>125.4522</v>
      </c>
      <c r="F22" s="96">
        <v>139.40649999999999</v>
      </c>
      <c r="G22" s="96">
        <v>166.35470000000001</v>
      </c>
      <c r="H22" s="96">
        <v>183.2664</v>
      </c>
      <c r="I22" s="96">
        <v>203.36779999999999</v>
      </c>
      <c r="J22" s="181" t="s">
        <v>104</v>
      </c>
      <c r="N22" s="156"/>
      <c r="O22" s="156"/>
      <c r="P22" s="156"/>
      <c r="Q22" s="156"/>
      <c r="R22" s="156"/>
      <c r="S22" s="156"/>
    </row>
    <row r="23" spans="1:19" ht="25.5" customHeight="1" thickBot="1">
      <c r="A23" s="228" t="s">
        <v>111</v>
      </c>
      <c r="B23" s="96">
        <v>100</v>
      </c>
      <c r="C23" s="96">
        <v>100</v>
      </c>
      <c r="D23" s="96">
        <f>N23/100</f>
        <v>0</v>
      </c>
      <c r="E23" s="96">
        <f>O23/B23</f>
        <v>0</v>
      </c>
      <c r="F23" s="96">
        <f>P23/100</f>
        <v>0</v>
      </c>
      <c r="G23" s="96">
        <f>Q23/100</f>
        <v>0</v>
      </c>
      <c r="H23" s="96">
        <f>R23/100</f>
        <v>0</v>
      </c>
      <c r="I23" s="96">
        <f>S23/100</f>
        <v>0</v>
      </c>
      <c r="J23" s="228" t="s">
        <v>112</v>
      </c>
      <c r="O23" s="156"/>
    </row>
    <row r="24" spans="1:19" ht="11.25" customHeight="1"/>
    <row r="25" spans="1:19">
      <c r="A25" s="103" t="s">
        <v>130</v>
      </c>
      <c r="J25" s="98" t="s">
        <v>194</v>
      </c>
    </row>
    <row r="26" spans="1:19">
      <c r="A26" s="109" t="s">
        <v>275</v>
      </c>
      <c r="B26" s="109"/>
      <c r="I26" s="110"/>
      <c r="J26" s="105" t="s">
        <v>276</v>
      </c>
    </row>
    <row r="33" spans="8:8">
      <c r="H33" s="156"/>
    </row>
    <row r="34" spans="8:8">
      <c r="H34" s="156"/>
    </row>
    <row r="35" spans="8:8">
      <c r="H35" s="156"/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8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topLeftCell="A2" zoomScale="118" zoomScaleNormal="100" zoomScaleSheetLayoutView="118" workbookViewId="0">
      <selection activeCell="K10" sqref="K10"/>
    </sheetView>
  </sheetViews>
  <sheetFormatPr defaultRowHeight="12.75"/>
  <cols>
    <col min="1" max="1" width="15" customWidth="1"/>
    <col min="2" max="7" width="8.28515625" customWidth="1"/>
    <col min="8" max="8" width="8.28515625" style="152" customWidth="1"/>
    <col min="9" max="9" width="16.140625" customWidth="1"/>
  </cols>
  <sheetData>
    <row r="1" spans="1:16">
      <c r="A1" s="314" t="s">
        <v>138</v>
      </c>
      <c r="B1" s="314"/>
      <c r="C1" s="314"/>
      <c r="D1" s="314"/>
      <c r="E1" s="314"/>
      <c r="F1" s="314"/>
      <c r="G1" s="314"/>
      <c r="H1" s="314"/>
      <c r="I1" s="314"/>
      <c r="J1" s="161"/>
      <c r="K1" s="161"/>
      <c r="L1" s="161"/>
      <c r="M1" s="161"/>
      <c r="N1" s="161"/>
      <c r="O1" s="161"/>
      <c r="P1" s="161"/>
    </row>
    <row r="2" spans="1:16" ht="15.75">
      <c r="A2" s="315" t="s">
        <v>268</v>
      </c>
      <c r="B2" s="315"/>
      <c r="C2" s="315"/>
      <c r="D2" s="315"/>
      <c r="E2" s="315"/>
      <c r="F2" s="315"/>
      <c r="G2" s="315"/>
      <c r="H2" s="315"/>
      <c r="I2" s="315"/>
      <c r="J2" s="161"/>
      <c r="K2" s="161"/>
      <c r="L2" s="161"/>
      <c r="M2" s="161"/>
      <c r="N2" s="161"/>
      <c r="O2" s="161"/>
      <c r="P2" s="161"/>
    </row>
    <row r="3" spans="1:16">
      <c r="A3" s="316" t="s">
        <v>269</v>
      </c>
      <c r="B3" s="316"/>
      <c r="C3" s="316"/>
      <c r="D3" s="316"/>
      <c r="E3" s="316"/>
      <c r="F3" s="316"/>
      <c r="G3" s="316"/>
      <c r="H3" s="316"/>
      <c r="I3" s="316"/>
      <c r="J3" s="161"/>
      <c r="K3" s="161"/>
      <c r="L3" s="161"/>
      <c r="M3" s="161"/>
      <c r="N3" s="161"/>
      <c r="O3" s="161"/>
      <c r="P3" s="161"/>
    </row>
    <row r="4" spans="1:16" ht="11.25" customHeight="1" thickBot="1"/>
    <row r="5" spans="1:16" ht="27" customHeight="1" thickBot="1">
      <c r="A5" s="310" t="s">
        <v>1</v>
      </c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>
        <v>2012</v>
      </c>
      <c r="H5" s="187">
        <v>2013</v>
      </c>
      <c r="I5" s="310" t="s">
        <v>108</v>
      </c>
    </row>
    <row r="6" spans="1:16" ht="27" customHeight="1">
      <c r="A6" s="149" t="s">
        <v>81</v>
      </c>
      <c r="B6" s="96">
        <v>100</v>
      </c>
      <c r="C6" s="96">
        <v>110.83329999999999</v>
      </c>
      <c r="D6" s="96">
        <v>120.5489</v>
      </c>
      <c r="E6" s="96">
        <v>126.4297</v>
      </c>
      <c r="F6" s="96">
        <v>129.05760000000001</v>
      </c>
      <c r="G6" s="96">
        <v>134.5753</v>
      </c>
      <c r="H6" s="96">
        <v>137.83359999999999</v>
      </c>
      <c r="I6" s="149" t="s">
        <v>82</v>
      </c>
    </row>
    <row r="7" spans="1:16" ht="27.75" customHeight="1">
      <c r="A7" s="149" t="s">
        <v>109</v>
      </c>
      <c r="B7" s="96">
        <v>100</v>
      </c>
      <c r="C7" s="96">
        <v>124.13232000000001</v>
      </c>
      <c r="D7" s="96">
        <v>144.13140000000001</v>
      </c>
      <c r="E7" s="96">
        <v>175.52529999999999</v>
      </c>
      <c r="F7" s="96">
        <v>198.57660000000001</v>
      </c>
      <c r="G7" s="96">
        <v>217.9674</v>
      </c>
      <c r="H7" s="96">
        <v>245.8672</v>
      </c>
      <c r="I7" s="149" t="s">
        <v>84</v>
      </c>
    </row>
    <row r="8" spans="1:16" ht="27" customHeight="1">
      <c r="A8" s="149" t="s">
        <v>85</v>
      </c>
      <c r="B8" s="96">
        <v>100</v>
      </c>
      <c r="C8" s="95">
        <v>110.9431</v>
      </c>
      <c r="D8" s="96">
        <v>130.422</v>
      </c>
      <c r="E8" s="96">
        <v>133.99799999999999</v>
      </c>
      <c r="F8" s="96">
        <v>138.14500000000001</v>
      </c>
      <c r="G8" s="96">
        <v>147.0659</v>
      </c>
      <c r="H8" s="96">
        <v>147.7302</v>
      </c>
      <c r="I8" s="149" t="s">
        <v>86</v>
      </c>
    </row>
    <row r="9" spans="1:16" ht="27" customHeight="1">
      <c r="A9" s="149" t="s">
        <v>87</v>
      </c>
      <c r="B9" s="96">
        <v>100</v>
      </c>
      <c r="C9" s="96">
        <v>118.4131</v>
      </c>
      <c r="D9" s="96">
        <v>120.3875</v>
      </c>
      <c r="E9" s="96">
        <v>126.4303</v>
      </c>
      <c r="F9" s="96">
        <v>131.6558</v>
      </c>
      <c r="G9" s="96">
        <v>137.7353</v>
      </c>
      <c r="H9" s="96">
        <v>143.49130653362755</v>
      </c>
      <c r="I9" s="149" t="s">
        <v>88</v>
      </c>
    </row>
    <row r="10" spans="1:16" ht="27" customHeight="1">
      <c r="A10" s="149" t="s">
        <v>89</v>
      </c>
      <c r="B10" s="96">
        <v>100</v>
      </c>
      <c r="C10" s="95">
        <v>111.79649999999999</v>
      </c>
      <c r="D10" s="96">
        <v>114.56</v>
      </c>
      <c r="E10" s="96">
        <v>120.97</v>
      </c>
      <c r="F10" s="96">
        <v>129.99</v>
      </c>
      <c r="G10" s="96">
        <v>136.21539999999999</v>
      </c>
      <c r="H10" s="96">
        <v>141.7475</v>
      </c>
      <c r="I10" s="149" t="s">
        <v>90</v>
      </c>
    </row>
    <row r="11" spans="1:16" ht="27" customHeight="1">
      <c r="A11" s="149" t="s">
        <v>6</v>
      </c>
      <c r="B11" s="96">
        <v>100</v>
      </c>
      <c r="C11" s="96">
        <v>111.15</v>
      </c>
      <c r="D11" s="96">
        <v>115.29</v>
      </c>
      <c r="E11" s="96">
        <v>118.93</v>
      </c>
      <c r="F11" s="96">
        <v>126.23</v>
      </c>
      <c r="G11" s="96">
        <v>134.32660000000001</v>
      </c>
      <c r="H11" s="96">
        <v>138.66807299999999</v>
      </c>
      <c r="I11" s="149" t="s">
        <v>91</v>
      </c>
      <c r="N11" s="156"/>
    </row>
    <row r="12" spans="1:16" s="151" customFormat="1" ht="13.5" hidden="1">
      <c r="A12" s="149" t="s">
        <v>206</v>
      </c>
      <c r="B12" s="96"/>
      <c r="C12" s="96"/>
      <c r="D12" s="96"/>
      <c r="E12" s="96"/>
      <c r="F12" s="96"/>
      <c r="G12" s="96"/>
      <c r="H12" s="96"/>
      <c r="I12" s="149" t="s">
        <v>208</v>
      </c>
      <c r="M12" s="156"/>
      <c r="N12" s="156"/>
    </row>
    <row r="13" spans="1:16" s="151" customFormat="1" ht="13.5" hidden="1">
      <c r="A13" s="149" t="s">
        <v>209</v>
      </c>
      <c r="B13" s="96"/>
      <c r="C13" s="96"/>
      <c r="D13" s="96"/>
      <c r="E13" s="96"/>
      <c r="F13" s="96"/>
      <c r="G13" s="96"/>
      <c r="H13" s="96"/>
      <c r="I13" s="149" t="s">
        <v>211</v>
      </c>
      <c r="M13" s="156"/>
      <c r="N13" s="156"/>
    </row>
    <row r="14" spans="1:16" ht="28.5" customHeight="1">
      <c r="A14" s="149" t="s">
        <v>92</v>
      </c>
      <c r="B14" s="96">
        <v>100</v>
      </c>
      <c r="C14" s="96">
        <v>121.5496</v>
      </c>
      <c r="D14" s="96">
        <v>122.1146</v>
      </c>
      <c r="E14" s="96">
        <v>124.61660000000001</v>
      </c>
      <c r="F14" s="96">
        <v>130.2663</v>
      </c>
      <c r="G14" s="96">
        <v>133.09119999999999</v>
      </c>
      <c r="H14" s="96">
        <v>136.80000000000001</v>
      </c>
      <c r="I14" s="149" t="s">
        <v>93</v>
      </c>
      <c r="M14" s="156"/>
      <c r="N14" s="156"/>
    </row>
    <row r="15" spans="1:16" ht="28.5" customHeight="1">
      <c r="A15" s="149" t="s">
        <v>94</v>
      </c>
      <c r="B15" s="96">
        <v>100</v>
      </c>
      <c r="C15" s="96">
        <v>116.1794</v>
      </c>
      <c r="D15" s="96">
        <v>121.10769999999999</v>
      </c>
      <c r="E15" s="96">
        <v>126.36109999999999</v>
      </c>
      <c r="F15" s="96">
        <v>129.95480000000001</v>
      </c>
      <c r="G15" s="96">
        <v>133.59690000000001</v>
      </c>
      <c r="H15" s="96">
        <v>136.5992</v>
      </c>
      <c r="I15" s="149" t="s">
        <v>95</v>
      </c>
      <c r="L15" s="33"/>
      <c r="N15" s="156"/>
    </row>
    <row r="16" spans="1:16" ht="29.25" customHeight="1">
      <c r="A16" s="149" t="s">
        <v>96</v>
      </c>
      <c r="B16" s="96">
        <v>100</v>
      </c>
      <c r="C16" s="96">
        <v>119.95</v>
      </c>
      <c r="D16" s="96">
        <v>121.4375</v>
      </c>
      <c r="E16" s="96">
        <v>123.8733</v>
      </c>
      <c r="F16" s="96">
        <v>129.375</v>
      </c>
      <c r="G16" s="96">
        <v>134.2167</v>
      </c>
      <c r="H16" s="96">
        <v>137.3083</v>
      </c>
      <c r="I16" s="149" t="s">
        <v>127</v>
      </c>
      <c r="K16" s="33"/>
    </row>
    <row r="17" spans="1:14" ht="27.75" customHeight="1">
      <c r="A17" s="149" t="s">
        <v>117</v>
      </c>
      <c r="B17" s="96">
        <v>100</v>
      </c>
      <c r="C17" s="95">
        <v>114.0294</v>
      </c>
      <c r="D17" s="96">
        <v>116.2064</v>
      </c>
      <c r="E17" s="96">
        <v>120.76600000000001</v>
      </c>
      <c r="F17" s="96">
        <v>127.0915</v>
      </c>
      <c r="G17" s="96">
        <v>133.0787</v>
      </c>
      <c r="H17" s="96">
        <v>140.74279999999999</v>
      </c>
      <c r="I17" s="149" t="s">
        <v>98</v>
      </c>
    </row>
    <row r="18" spans="1:14" ht="26.25" customHeight="1">
      <c r="A18" s="149" t="s">
        <v>140</v>
      </c>
      <c r="B18" s="96">
        <v>100</v>
      </c>
      <c r="C18" s="96">
        <v>118.5578</v>
      </c>
      <c r="D18" s="96">
        <v>133.0506</v>
      </c>
      <c r="E18" s="96">
        <v>153.79929999999999</v>
      </c>
      <c r="F18" s="96">
        <v>185.23830000000001</v>
      </c>
      <c r="G18" s="96">
        <v>257.50850000000003</v>
      </c>
      <c r="H18" s="96">
        <v>335.02120000000002</v>
      </c>
      <c r="I18" s="149" t="s">
        <v>114</v>
      </c>
      <c r="N18" s="167"/>
    </row>
    <row r="19" spans="1:14" ht="26.25" customHeight="1">
      <c r="A19" s="149" t="s">
        <v>99</v>
      </c>
      <c r="B19" s="96">
        <v>100</v>
      </c>
      <c r="C19" s="96">
        <v>120.18510000000001</v>
      </c>
      <c r="D19" s="96">
        <v>121.12090000000001</v>
      </c>
      <c r="E19" s="96">
        <v>126.97239999999999</v>
      </c>
      <c r="F19" s="96">
        <v>136.37790000000001</v>
      </c>
      <c r="G19" s="96">
        <v>191.3886</v>
      </c>
      <c r="H19" s="96">
        <v>396.18389999999999</v>
      </c>
      <c r="I19" s="149" t="s">
        <v>110</v>
      </c>
      <c r="N19" s="167"/>
    </row>
    <row r="20" spans="1:14" s="151" customFormat="1" ht="13.5" hidden="1">
      <c r="A20" s="149" t="s">
        <v>220</v>
      </c>
      <c r="B20" s="96"/>
      <c r="C20" s="96"/>
      <c r="D20" s="96"/>
      <c r="E20" s="96"/>
      <c r="F20" s="96"/>
      <c r="G20" s="96"/>
      <c r="H20" s="96"/>
      <c r="I20" s="149" t="s">
        <v>213</v>
      </c>
    </row>
    <row r="21" spans="1:14" ht="27.75" customHeight="1">
      <c r="A21" s="149" t="s">
        <v>101</v>
      </c>
      <c r="B21" s="96">
        <v>100</v>
      </c>
      <c r="C21" s="96">
        <v>116</v>
      </c>
      <c r="D21" s="96">
        <v>117.1</v>
      </c>
      <c r="E21" s="96">
        <v>122.3</v>
      </c>
      <c r="F21" s="96">
        <v>129.4</v>
      </c>
      <c r="G21" s="96">
        <v>136.19999999999999</v>
      </c>
      <c r="H21" s="96">
        <v>140.19999999999999</v>
      </c>
      <c r="I21" s="149" t="s">
        <v>102</v>
      </c>
    </row>
    <row r="22" spans="1:14" ht="26.25" customHeight="1" thickBot="1">
      <c r="A22" s="228" t="s">
        <v>103</v>
      </c>
      <c r="B22" s="96">
        <v>100</v>
      </c>
      <c r="C22" s="96">
        <v>120.21980000000001</v>
      </c>
      <c r="D22" s="96">
        <v>127.4363</v>
      </c>
      <c r="E22" s="96">
        <v>141.7636</v>
      </c>
      <c r="F22" s="96">
        <v>175.0967</v>
      </c>
      <c r="G22" s="96">
        <v>190.18119999999999</v>
      </c>
      <c r="H22" s="96">
        <v>215.69220000000001</v>
      </c>
      <c r="I22" s="228" t="s">
        <v>104</v>
      </c>
    </row>
    <row r="25" spans="1:14">
      <c r="A25" s="103" t="s">
        <v>130</v>
      </c>
      <c r="I25" s="98" t="s">
        <v>194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110" zoomScaleNormal="100" zoomScaleSheetLayoutView="110" workbookViewId="0">
      <selection activeCell="R7" sqref="R7"/>
    </sheetView>
  </sheetViews>
  <sheetFormatPr defaultRowHeight="12.75"/>
  <cols>
    <col min="1" max="1" width="15.5703125" bestFit="1" customWidth="1"/>
    <col min="2" max="2" width="10" customWidth="1"/>
    <col min="3" max="3" width="8.7109375" customWidth="1"/>
    <col min="4" max="4" width="10.140625" customWidth="1"/>
    <col min="5" max="5" width="11.42578125" customWidth="1"/>
    <col min="6" max="6" width="8" customWidth="1"/>
    <col min="7" max="7" width="7.85546875" customWidth="1"/>
    <col min="8" max="9" width="10.140625" customWidth="1"/>
    <col min="10" max="10" width="10.85546875" customWidth="1"/>
    <col min="11" max="11" width="7.28515625" customWidth="1"/>
    <col min="12" max="12" width="13.5703125" customWidth="1"/>
  </cols>
  <sheetData>
    <row r="1" spans="1:12">
      <c r="A1" s="314" t="s">
        <v>139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29"/>
    </row>
    <row r="2" spans="1:12" ht="15.75">
      <c r="A2" s="315" t="s">
        <v>266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30"/>
    </row>
    <row r="3" spans="1:12">
      <c r="A3" s="316" t="s">
        <v>267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31"/>
    </row>
    <row r="4" spans="1:12" ht="13.5" thickBot="1"/>
    <row r="5" spans="1:12" ht="99.75" thickBot="1">
      <c r="A5" s="154" t="s">
        <v>1</v>
      </c>
      <c r="B5" s="153" t="s">
        <v>195</v>
      </c>
      <c r="C5" s="99" t="s">
        <v>179</v>
      </c>
      <c r="D5" s="99" t="s">
        <v>196</v>
      </c>
      <c r="E5" s="99" t="s">
        <v>180</v>
      </c>
      <c r="F5" s="99" t="s">
        <v>181</v>
      </c>
      <c r="G5" s="99" t="s">
        <v>273</v>
      </c>
      <c r="H5" s="99" t="s">
        <v>272</v>
      </c>
      <c r="I5" s="99" t="s">
        <v>274</v>
      </c>
      <c r="J5" s="99" t="s">
        <v>142</v>
      </c>
      <c r="K5" s="100" t="s">
        <v>143</v>
      </c>
      <c r="L5" s="155" t="s">
        <v>108</v>
      </c>
    </row>
    <row r="6" spans="1:12" ht="13.5">
      <c r="A6" s="32" t="s">
        <v>81</v>
      </c>
      <c r="B6" s="33">
        <v>2.42</v>
      </c>
      <c r="C6" s="33">
        <v>0.77</v>
      </c>
      <c r="D6" s="33">
        <v>8.2100000000000009</v>
      </c>
      <c r="E6" s="33">
        <v>-1.44</v>
      </c>
      <c r="F6" s="33">
        <v>0.33</v>
      </c>
      <c r="G6" s="33">
        <v>4.5</v>
      </c>
      <c r="H6" s="33">
        <v>0.59</v>
      </c>
      <c r="I6" s="33">
        <v>0.53</v>
      </c>
      <c r="J6" s="33">
        <v>3.68</v>
      </c>
      <c r="K6" s="33">
        <v>3.3</v>
      </c>
      <c r="L6" s="32" t="s">
        <v>82</v>
      </c>
    </row>
    <row r="7" spans="1:12" ht="13.5">
      <c r="A7" s="32" t="s">
        <v>109</v>
      </c>
      <c r="B7" s="33">
        <v>12.8</v>
      </c>
      <c r="C7" s="33">
        <v>4.3499999999999996</v>
      </c>
      <c r="D7" s="33">
        <v>5.65</v>
      </c>
      <c r="E7" s="33">
        <v>3.52</v>
      </c>
      <c r="F7" s="33">
        <v>11.25</v>
      </c>
      <c r="G7" s="33">
        <v>9.34</v>
      </c>
      <c r="H7" s="33">
        <v>11.55</v>
      </c>
      <c r="I7" s="33">
        <v>24.04</v>
      </c>
      <c r="J7" s="33">
        <v>0.53</v>
      </c>
      <c r="K7" s="33">
        <v>10.34</v>
      </c>
      <c r="L7" s="32" t="s">
        <v>84</v>
      </c>
    </row>
    <row r="8" spans="1:12" ht="13.5">
      <c r="A8" s="32" t="s">
        <v>85</v>
      </c>
      <c r="B8" s="33">
        <v>0.45</v>
      </c>
      <c r="C8" s="33">
        <v>6.08</v>
      </c>
      <c r="D8" s="33">
        <v>3.49</v>
      </c>
      <c r="E8" s="33">
        <v>-1.99</v>
      </c>
      <c r="F8" s="33">
        <v>4.57</v>
      </c>
      <c r="G8" s="33">
        <v>8.7100000000000009</v>
      </c>
      <c r="H8" s="33">
        <v>-0.99</v>
      </c>
      <c r="I8" s="33">
        <v>4.7699999999999996</v>
      </c>
      <c r="J8" s="33">
        <v>-3.73</v>
      </c>
      <c r="K8" s="33">
        <v>1.78</v>
      </c>
      <c r="L8" s="32" t="s">
        <v>86</v>
      </c>
    </row>
    <row r="9" spans="1:12" ht="13.5">
      <c r="A9" s="32" t="s">
        <v>87</v>
      </c>
      <c r="B9" s="33">
        <v>2.689746556781536</v>
      </c>
      <c r="C9" s="33">
        <v>4.0617900954111663</v>
      </c>
      <c r="D9" s="33">
        <v>6.2279521739398325</v>
      </c>
      <c r="E9" s="33">
        <v>8.9773213646409324</v>
      </c>
      <c r="F9" s="33">
        <v>-4.007480630510285</v>
      </c>
      <c r="G9" s="33">
        <v>0.60668284487586099</v>
      </c>
      <c r="H9" s="96">
        <v>-0.16366612111292644</v>
      </c>
      <c r="I9" s="39">
        <v>10.35388927820604</v>
      </c>
      <c r="J9" s="96">
        <v>5.7904411764705843</v>
      </c>
      <c r="K9" s="33">
        <v>4.8</v>
      </c>
      <c r="L9" s="32" t="s">
        <v>88</v>
      </c>
    </row>
    <row r="10" spans="1:12" ht="13.5">
      <c r="A10" s="32" t="s">
        <v>89</v>
      </c>
      <c r="B10" s="33">
        <v>4.0599999999999996</v>
      </c>
      <c r="C10" s="33">
        <v>-0.2</v>
      </c>
      <c r="D10" s="33">
        <v>3.67</v>
      </c>
      <c r="E10" s="33">
        <v>0.87</v>
      </c>
      <c r="F10" s="33">
        <v>1.2</v>
      </c>
      <c r="G10" s="33">
        <v>0.8</v>
      </c>
      <c r="H10" s="33">
        <v>1.9</v>
      </c>
      <c r="I10" s="33">
        <v>0.6</v>
      </c>
      <c r="J10" s="33">
        <v>2.2000000000000002</v>
      </c>
      <c r="K10" s="33">
        <v>2.7</v>
      </c>
      <c r="L10" s="32" t="s">
        <v>90</v>
      </c>
    </row>
    <row r="11" spans="1:12" ht="13.5">
      <c r="A11" s="32" t="s">
        <v>113</v>
      </c>
      <c r="B11" s="33">
        <v>3.23</v>
      </c>
      <c r="C11" s="33">
        <v>-1.19</v>
      </c>
      <c r="D11" s="33">
        <v>11.05</v>
      </c>
      <c r="E11" s="33">
        <v>-1.96</v>
      </c>
      <c r="F11" s="33">
        <v>0.85</v>
      </c>
      <c r="G11" s="33">
        <v>12.48</v>
      </c>
      <c r="H11" s="33">
        <v>5.0199999999999996</v>
      </c>
      <c r="I11" s="33">
        <v>5.3</v>
      </c>
      <c r="J11" s="33">
        <v>2.16</v>
      </c>
      <c r="K11" s="33">
        <v>5.63</v>
      </c>
      <c r="L11" s="32" t="s">
        <v>91</v>
      </c>
    </row>
    <row r="12" spans="1:12" ht="13.5">
      <c r="A12" s="32" t="s">
        <v>92</v>
      </c>
      <c r="B12" s="96">
        <v>2.717335436400897</v>
      </c>
      <c r="C12" s="96">
        <v>1.4778325123152709</v>
      </c>
      <c r="D12" s="96">
        <v>0.70768087309523753</v>
      </c>
      <c r="E12" s="96">
        <v>-0.1361690388978877</v>
      </c>
      <c r="F12" s="33">
        <v>1.4778325123152709</v>
      </c>
      <c r="G12" s="33">
        <v>4.0307101727447243</v>
      </c>
      <c r="H12" s="33">
        <v>-1.1122345803842206</v>
      </c>
      <c r="I12" s="33">
        <v>1.0880316518298658</v>
      </c>
      <c r="J12" s="33">
        <v>0.29910269192422445</v>
      </c>
      <c r="K12" s="33">
        <v>1.1000000000000001</v>
      </c>
      <c r="L12" s="32" t="s">
        <v>93</v>
      </c>
    </row>
    <row r="13" spans="1:12" ht="13.5">
      <c r="A13" s="149" t="s">
        <v>94</v>
      </c>
      <c r="B13" s="96">
        <v>2.2473000000000001</v>
      </c>
      <c r="C13" s="33">
        <v>-0.66</v>
      </c>
      <c r="D13" s="96">
        <v>3.0411000000000001</v>
      </c>
      <c r="E13" s="96">
        <v>-0.624</v>
      </c>
      <c r="F13" s="33">
        <v>1.7</v>
      </c>
      <c r="G13" s="33">
        <v>6.95</v>
      </c>
      <c r="H13" s="33">
        <v>-0.55000000000000004</v>
      </c>
      <c r="I13" s="33">
        <v>3.67</v>
      </c>
      <c r="J13" s="33">
        <v>-1.33</v>
      </c>
      <c r="K13" s="33">
        <v>1.72</v>
      </c>
      <c r="L13" s="32" t="s">
        <v>95</v>
      </c>
    </row>
    <row r="14" spans="1:12" ht="13.5">
      <c r="A14" s="32" t="s">
        <v>96</v>
      </c>
      <c r="B14" s="33">
        <v>2.2999999999999998</v>
      </c>
      <c r="C14" s="33">
        <v>0.17</v>
      </c>
      <c r="D14" s="33">
        <v>5.1100000000000003</v>
      </c>
      <c r="E14" s="33">
        <v>1.44</v>
      </c>
      <c r="F14" s="33">
        <v>2.33</v>
      </c>
      <c r="G14" s="39" t="s">
        <v>61</v>
      </c>
      <c r="H14" s="33">
        <v>7.3</v>
      </c>
      <c r="I14" s="39" t="s">
        <v>61</v>
      </c>
      <c r="J14" s="33">
        <v>-2.4700000000000002</v>
      </c>
      <c r="K14" s="33">
        <v>3.14</v>
      </c>
      <c r="L14" s="32" t="s">
        <v>97</v>
      </c>
    </row>
    <row r="15" spans="1:12" ht="13.5">
      <c r="A15" s="149" t="s">
        <v>117</v>
      </c>
      <c r="B15" s="96">
        <v>5.7780360000000002</v>
      </c>
      <c r="C15" s="33">
        <v>1.45</v>
      </c>
      <c r="D15" s="96">
        <v>3.67</v>
      </c>
      <c r="E15" s="96">
        <v>2.2400000000000002</v>
      </c>
      <c r="F15" s="33">
        <v>3.22</v>
      </c>
      <c r="G15" s="33">
        <v>2.1800000000000002</v>
      </c>
      <c r="H15" s="33">
        <v>1.72</v>
      </c>
      <c r="I15" s="33">
        <v>4.1900000000000004</v>
      </c>
      <c r="J15" s="33">
        <v>-0.17</v>
      </c>
      <c r="K15" s="33">
        <v>3.51</v>
      </c>
      <c r="L15" s="32" t="s">
        <v>98</v>
      </c>
    </row>
    <row r="16" spans="1:12" ht="13.5">
      <c r="A16" s="32" t="s">
        <v>140</v>
      </c>
      <c r="B16" s="33">
        <v>30.1</v>
      </c>
      <c r="C16" s="33">
        <v>54.76</v>
      </c>
      <c r="D16" s="33">
        <v>33.65</v>
      </c>
      <c r="E16" s="33">
        <v>60.61</v>
      </c>
      <c r="F16" s="33">
        <v>47.44</v>
      </c>
      <c r="G16" s="33">
        <v>22.95</v>
      </c>
      <c r="H16" s="33">
        <v>74.77</v>
      </c>
      <c r="I16" s="33">
        <v>39.729999999999997</v>
      </c>
      <c r="J16" s="33">
        <v>53.21</v>
      </c>
      <c r="K16" s="33">
        <v>36.520000000000003</v>
      </c>
      <c r="L16" s="32" t="s">
        <v>114</v>
      </c>
    </row>
    <row r="17" spans="1:13" ht="13.5">
      <c r="A17" s="32" t="s">
        <v>99</v>
      </c>
      <c r="B17" s="33">
        <v>107.01</v>
      </c>
      <c r="C17" s="33">
        <v>86.55</v>
      </c>
      <c r="D17" s="33">
        <v>70.14</v>
      </c>
      <c r="E17" s="33">
        <v>89.15</v>
      </c>
      <c r="F17" s="33">
        <v>44.1</v>
      </c>
      <c r="G17" s="33">
        <v>45.44</v>
      </c>
      <c r="H17" s="33">
        <v>88.03</v>
      </c>
      <c r="I17" s="33">
        <v>84.08</v>
      </c>
      <c r="J17" s="33">
        <v>65.290000000000006</v>
      </c>
      <c r="K17" s="33">
        <v>89.61</v>
      </c>
      <c r="L17" s="32" t="s">
        <v>110</v>
      </c>
    </row>
    <row r="18" spans="1:13" ht="13.5">
      <c r="A18" s="32" t="s">
        <v>101</v>
      </c>
      <c r="B18" s="96">
        <v>2.93</v>
      </c>
      <c r="C18" s="96">
        <f>((109.22-108.95)/108.95)*100</f>
        <v>0.24782010096374119</v>
      </c>
      <c r="D18" s="96">
        <v>0.31</v>
      </c>
      <c r="E18" s="96">
        <v>0.62</v>
      </c>
      <c r="F18" s="33">
        <f>((107.32-106.9)/106.9)*100</f>
        <v>0.39289055191766831</v>
      </c>
      <c r="G18" s="33">
        <f>((147.12-139.61)/139.61)*100</f>
        <v>5.379270825872065</v>
      </c>
      <c r="H18" s="33">
        <f>((115.58-114.59)/114.59)*100</f>
        <v>0.86394973383366347</v>
      </c>
      <c r="I18" s="33">
        <f>((139.94-137.28)/137.28)*100</f>
        <v>1.9376456876456851</v>
      </c>
      <c r="J18" s="33">
        <f>((123.6-123.87)/123.87)*100</f>
        <v>-0.2179704528941715</v>
      </c>
      <c r="K18" s="33">
        <f>((118.07-116.78)/116.78)*100</f>
        <v>1.1046412056858983</v>
      </c>
      <c r="L18" s="32" t="s">
        <v>102</v>
      </c>
    </row>
    <row r="19" spans="1:13" ht="13.5">
      <c r="A19" s="148" t="s">
        <v>103</v>
      </c>
      <c r="B19" s="162">
        <v>13.41</v>
      </c>
      <c r="C19" s="162">
        <v>16.850000000000001</v>
      </c>
      <c r="D19" s="162">
        <v>3.84</v>
      </c>
      <c r="E19" s="162">
        <v>0.56000000000000005</v>
      </c>
      <c r="F19" s="162">
        <v>7.24</v>
      </c>
      <c r="G19" s="162">
        <v>9.48</v>
      </c>
      <c r="H19" s="162">
        <v>7.49</v>
      </c>
      <c r="I19" s="162">
        <v>11.87</v>
      </c>
      <c r="J19" s="162">
        <v>6.06</v>
      </c>
      <c r="K19" s="162">
        <v>10.97</v>
      </c>
      <c r="L19" s="148" t="s">
        <v>104</v>
      </c>
    </row>
    <row r="21" spans="1:13">
      <c r="A21" s="103" t="s">
        <v>130</v>
      </c>
      <c r="L21" s="98" t="s">
        <v>194</v>
      </c>
    </row>
    <row r="22" spans="1:13">
      <c r="A22" s="107" t="s">
        <v>199</v>
      </c>
      <c r="B22" s="103"/>
      <c r="C22" s="107"/>
      <c r="D22" s="107"/>
      <c r="E22" s="107"/>
      <c r="I22" s="334" t="s">
        <v>197</v>
      </c>
      <c r="J22" s="334"/>
      <c r="K22" s="334"/>
      <c r="L22" s="334"/>
      <c r="M22" s="157"/>
    </row>
    <row r="23" spans="1:13" ht="12.75" customHeight="1">
      <c r="A23" s="332" t="s">
        <v>200</v>
      </c>
      <c r="B23" s="332"/>
      <c r="C23" s="332"/>
      <c r="D23" s="332"/>
      <c r="I23" s="333" t="s">
        <v>198</v>
      </c>
      <c r="J23" s="333"/>
      <c r="K23" s="333"/>
      <c r="L23" s="333"/>
    </row>
    <row r="24" spans="1:13">
      <c r="A24" s="332"/>
      <c r="B24" s="332"/>
      <c r="C24" s="332"/>
      <c r="D24" s="332"/>
      <c r="I24" s="333"/>
      <c r="J24" s="333"/>
      <c r="K24" s="333"/>
      <c r="L24" s="333"/>
    </row>
    <row r="26" spans="1:13">
      <c r="A26" s="312"/>
      <c r="B26" s="312"/>
      <c r="C26" s="74"/>
      <c r="D26" s="74"/>
      <c r="E26" s="74"/>
      <c r="F26" s="74"/>
      <c r="G26" s="74"/>
      <c r="H26" s="166"/>
      <c r="I26" s="166"/>
      <c r="J26" s="166"/>
      <c r="K26" s="166"/>
      <c r="L26" s="166"/>
    </row>
    <row r="27" spans="1:13">
      <c r="A27" s="312"/>
      <c r="B27" s="312"/>
      <c r="C27" s="74"/>
      <c r="D27" s="74"/>
      <c r="E27" s="74"/>
      <c r="F27" s="74"/>
      <c r="G27" s="74"/>
      <c r="H27" s="166"/>
      <c r="I27" s="166"/>
      <c r="J27" s="166"/>
      <c r="K27" s="166"/>
      <c r="L27" s="166"/>
    </row>
    <row r="28" spans="1:13">
      <c r="A28" s="312"/>
      <c r="B28" s="312"/>
      <c r="C28" s="74"/>
      <c r="D28" s="74"/>
      <c r="E28" s="74"/>
      <c r="F28" s="74"/>
      <c r="G28" s="74"/>
      <c r="H28" s="74"/>
    </row>
    <row r="29" spans="1:13">
      <c r="A29" s="74"/>
      <c r="B29" s="74"/>
      <c r="C29" s="74"/>
      <c r="D29" s="74"/>
      <c r="E29" s="74"/>
      <c r="F29" s="74"/>
      <c r="G29" s="74"/>
      <c r="H29" s="74"/>
    </row>
    <row r="30" spans="1:13">
      <c r="A30" s="74"/>
      <c r="B30" s="74"/>
      <c r="C30" s="74"/>
      <c r="D30" s="74"/>
      <c r="E30" s="74"/>
      <c r="F30" s="74"/>
      <c r="G30" s="74"/>
      <c r="H30" s="166"/>
      <c r="I30" s="166"/>
      <c r="J30" s="166"/>
      <c r="K30" s="166"/>
      <c r="L30" s="166"/>
    </row>
    <row r="31" spans="1:13">
      <c r="C31" s="156"/>
      <c r="E31" s="156"/>
      <c r="G31" s="156"/>
      <c r="H31" s="166"/>
      <c r="I31" s="166"/>
      <c r="J31" s="166"/>
      <c r="K31" s="166"/>
      <c r="L31" s="166"/>
    </row>
    <row r="32" spans="1:13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1:12"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6" spans="1:12" s="170" customForma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2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41" spans="1:12" s="170" customFormat="1">
      <c r="A41" s="169"/>
      <c r="B41" s="169"/>
      <c r="C41" s="169"/>
      <c r="D41" s="169"/>
      <c r="E41" s="169"/>
      <c r="F41" s="169"/>
      <c r="G41" s="169"/>
      <c r="H41" s="169"/>
    </row>
    <row r="42" spans="1:12">
      <c r="B42" s="156"/>
      <c r="D42" s="152"/>
      <c r="E42" s="156"/>
      <c r="F42" s="156"/>
      <c r="G42" s="156"/>
      <c r="H42" s="156"/>
      <c r="I42" s="156"/>
    </row>
    <row r="43" spans="1:12">
      <c r="B43" s="156"/>
      <c r="C43" s="152"/>
      <c r="E43" s="156"/>
      <c r="F43" s="156"/>
      <c r="G43" s="156"/>
      <c r="H43" s="156"/>
      <c r="I43" s="156"/>
    </row>
    <row r="44" spans="1:12">
      <c r="B44" s="156"/>
      <c r="C44" s="156"/>
      <c r="D44" s="156"/>
      <c r="E44" s="156"/>
      <c r="F44" s="156"/>
      <c r="G44" s="156"/>
      <c r="H44" s="156"/>
      <c r="I44" s="156"/>
    </row>
    <row r="45" spans="1:12">
      <c r="B45" s="156"/>
      <c r="C45" s="156"/>
      <c r="D45" s="156"/>
      <c r="E45" s="156"/>
      <c r="F45" s="156"/>
      <c r="G45" s="156"/>
      <c r="H45" s="156"/>
      <c r="I45" s="156"/>
    </row>
  </sheetData>
  <mergeCells count="6">
    <mergeCell ref="A1:L1"/>
    <mergeCell ref="A2:L2"/>
    <mergeCell ref="A3:L3"/>
    <mergeCell ref="A23:D24"/>
    <mergeCell ref="I23:L24"/>
    <mergeCell ref="I22:L22"/>
  </mergeCells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Govrment Revenues</vt:lpstr>
      <vt:lpstr>Goverment Expenditures</vt:lpstr>
      <vt:lpstr>Money Supply</vt:lpstr>
      <vt:lpstr>Credit</vt:lpstr>
      <vt:lpstr>Balance of Payment</vt:lpstr>
      <vt:lpstr>FDI</vt:lpstr>
      <vt:lpstr>CPI base 2007</vt:lpstr>
      <vt:lpstr>CPI food base 2007</vt:lpstr>
      <vt:lpstr>Inflation by Group 2013</vt:lpstr>
      <vt:lpstr>'Balance of Payment'!Print_Area</vt:lpstr>
      <vt:lpstr>'CPI base 2007'!Print_Area</vt:lpstr>
      <vt:lpstr>'CPI food base 2007'!Print_Area</vt:lpstr>
      <vt:lpstr>Credit!Print_Area</vt:lpstr>
      <vt:lpstr>FDI!Print_Area</vt:lpstr>
      <vt:lpstr>'Goverment Expenditures'!Print_Area</vt:lpstr>
      <vt:lpstr>'Govrment Revenues'!Print_Area</vt:lpstr>
      <vt:lpstr>'Inflation by Group 2013'!Print_Area</vt:lpstr>
      <vt:lpstr>'Money Supply'!Print_Area</vt:lpstr>
      <vt:lpstr>'Balance of Payment'!Print_Titles</vt:lpstr>
      <vt:lpstr>Credit!Print_Titles</vt:lpstr>
      <vt:lpstr>'Goverment Expenditures'!Print_Titles</vt:lpstr>
      <vt:lpstr>'Govrment Revenues'!Print_Titles</vt:lpstr>
      <vt:lpstr>'Money Supply'!Print_Titles</vt:lpstr>
    </vt:vector>
  </TitlesOfParts>
  <Company>United Nations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Sadim SBEITI</dc:creator>
  <cp:lastModifiedBy>341260</cp:lastModifiedBy>
  <cp:lastPrinted>2014-10-28T10:54:47Z</cp:lastPrinted>
  <dcterms:created xsi:type="dcterms:W3CDTF">2009-01-11T13:25:05Z</dcterms:created>
  <dcterms:modified xsi:type="dcterms:W3CDTF">2015-08-04T09:04:17Z</dcterms:modified>
</cp:coreProperties>
</file>